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2"/>
  </bookViews>
  <sheets>
    <sheet name="Skriveni" sheetId="37" state="hidden" r:id="rId1"/>
    <sheet name="Upute" sheetId="19" r:id="rId2"/>
    <sheet name="PRRAS" sheetId="1" r:id="rId3"/>
    <sheet name="RefStr" sheetId="42"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2">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2">PRRAS!$A$2:$F$997</definedName>
    <definedName name="_xlnm.Print_Area" localSheetId="6">PVRIO!$A$2:$F$61</definedName>
    <definedName name="_xlnm.Print_Area" localSheetId="5">RasF!$A$2:$F$153</definedName>
    <definedName name="_xlnm.Print_Area" localSheetId="3">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H129" i="37" s="1"/>
  <c r="B130" i="37"/>
  <c r="C130" i="37"/>
  <c r="D130" i="37"/>
  <c r="B131" i="37"/>
  <c r="B132" i="37"/>
  <c r="B133" i="37"/>
  <c r="C133" i="37"/>
  <c r="D133" i="37"/>
  <c r="H133" i="37" s="1"/>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H156" i="37" s="1"/>
  <c r="B157" i="37"/>
  <c r="B158" i="37"/>
  <c r="C158" i="37"/>
  <c r="D158" i="37"/>
  <c r="G158" i="37"/>
  <c r="B159" i="37"/>
  <c r="C159" i="37"/>
  <c r="D159" i="37"/>
  <c r="G159" i="37"/>
  <c r="B160" i="37"/>
  <c r="C160" i="37"/>
  <c r="D160" i="37"/>
  <c r="G160" i="37"/>
  <c r="B161" i="37"/>
  <c r="B162" i="37"/>
  <c r="B163" i="37"/>
  <c r="C163" i="37"/>
  <c r="D163" i="37"/>
  <c r="G163" i="37"/>
  <c r="B164" i="37"/>
  <c r="C164" i="37"/>
  <c r="D164" i="37"/>
  <c r="G164" i="37"/>
  <c r="B165" i="37"/>
  <c r="C165" i="37"/>
  <c r="D165" i="37"/>
  <c r="G165" i="37"/>
  <c r="B166" i="37"/>
  <c r="C166" i="37"/>
  <c r="D166" i="37"/>
  <c r="G166" i="37"/>
  <c r="B167" i="37"/>
  <c r="B168" i="37"/>
  <c r="C168" i="37"/>
  <c r="D168" i="37"/>
  <c r="H168" i="37" s="1"/>
  <c r="B169" i="37"/>
  <c r="C169" i="37"/>
  <c r="D169" i="37"/>
  <c r="B170" i="37"/>
  <c r="C170" i="37"/>
  <c r="D170" i="37"/>
  <c r="H170" i="37" s="1"/>
  <c r="B171" i="37"/>
  <c r="C171" i="37"/>
  <c r="D171" i="37"/>
  <c r="B172" i="37"/>
  <c r="C172" i="37"/>
  <c r="D172" i="37"/>
  <c r="H172" i="37" s="1"/>
  <c r="B173" i="37"/>
  <c r="C173" i="37"/>
  <c r="D173" i="37"/>
  <c r="B174" i="37"/>
  <c r="C174" i="37"/>
  <c r="D174" i="37"/>
  <c r="H174" i="37" s="1"/>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H285" i="37" s="1"/>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G509" i="37" s="1"/>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s="1"/>
  <c r="B640" i="37"/>
  <c r="C640" i="37"/>
  <c r="D640" i="37"/>
  <c r="G640" i="37" s="1"/>
  <c r="B641" i="37"/>
  <c r="C641" i="37"/>
  <c r="D641" i="37"/>
  <c r="G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G980" i="37" s="1"/>
  <c r="B981" i="37"/>
  <c r="C981" i="37"/>
  <c r="D981" i="37"/>
  <c r="G981" i="37" s="1"/>
  <c r="B982" i="37"/>
  <c r="C982" i="37"/>
  <c r="D982" i="37"/>
  <c r="G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B992" i="37"/>
  <c r="C992" i="37"/>
  <c r="D992" i="37"/>
  <c r="B993" i="37"/>
  <c r="C993" i="37"/>
  <c r="D993" i="37"/>
  <c r="G993" i="37" s="1"/>
  <c r="B994" i="37"/>
  <c r="C994" i="37"/>
  <c r="D994" i="37"/>
  <c r="B995" i="37"/>
  <c r="C995" i="37"/>
  <c r="D995" i="37"/>
  <c r="G995" i="37" s="1"/>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H1025" i="37" s="1"/>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H1043" i="37" s="1"/>
  <c r="B1044" i="37"/>
  <c r="C1044" i="37"/>
  <c r="H1044" i="37" s="1"/>
  <c r="D1044" i="37"/>
  <c r="B1045" i="37"/>
  <c r="C1045" i="37"/>
  <c r="D1045" i="37"/>
  <c r="B1046" i="37"/>
  <c r="C1046" i="37"/>
  <c r="D1046" i="37"/>
  <c r="B1047" i="37"/>
  <c r="C1047" i="37"/>
  <c r="D1047" i="37"/>
  <c r="H1047" i="37" s="1"/>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G1137" i="37" s="1"/>
  <c r="B1138" i="37"/>
  <c r="B1139" i="37"/>
  <c r="B1140" i="37"/>
  <c r="B1141" i="37"/>
  <c r="C1141" i="37"/>
  <c r="D1141" i="37"/>
  <c r="H1141" i="37" s="1"/>
  <c r="B1142" i="37"/>
  <c r="C1142" i="37"/>
  <c r="G1142" i="37" s="1"/>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H1203" i="37" s="1"/>
  <c r="B1204" i="37"/>
  <c r="B1205" i="37"/>
  <c r="C1205" i="37"/>
  <c r="D1205" i="37"/>
  <c r="B1206" i="37"/>
  <c r="C1206" i="37"/>
  <c r="G1206" i="37" s="1"/>
  <c r="D1206" i="37"/>
  <c r="B1207" i="37"/>
  <c r="C1207" i="37"/>
  <c r="D1207" i="37"/>
  <c r="B1208" i="37"/>
  <c r="B1209" i="37"/>
  <c r="C1209" i="37"/>
  <c r="D1209" i="37"/>
  <c r="H1209" i="37" s="1"/>
  <c r="B1210" i="37"/>
  <c r="C1210" i="37"/>
  <c r="D1210" i="37"/>
  <c r="B1211" i="37"/>
  <c r="C1211" i="37"/>
  <c r="D1211" i="37"/>
  <c r="H1211" i="37" s="1"/>
  <c r="B1212" i="37"/>
  <c r="B1213" i="37"/>
  <c r="G1213" i="37" s="1"/>
  <c r="C1213" i="37"/>
  <c r="D1213" i="37"/>
  <c r="B1214" i="37"/>
  <c r="C1214" i="37"/>
  <c r="D1214" i="37"/>
  <c r="B1215" i="37"/>
  <c r="G1215" i="37" s="1"/>
  <c r="C1215" i="37"/>
  <c r="D1215" i="37"/>
  <c r="B1216" i="37"/>
  <c r="C1216" i="37"/>
  <c r="D1216" i="37"/>
  <c r="B1217" i="37"/>
  <c r="C1217" i="37"/>
  <c r="D1217" i="37"/>
  <c r="B1218" i="37"/>
  <c r="G1218" i="37" s="1"/>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C1346" i="37"/>
  <c r="D1346" i="37"/>
  <c r="B1347" i="37"/>
  <c r="C1347" i="37"/>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B1378" i="37"/>
  <c r="C1378" i="37"/>
  <c r="D1378" i="37"/>
  <c r="B1379" i="37"/>
  <c r="C1379" i="37"/>
  <c r="D1379" i="37"/>
  <c r="B1380" i="37"/>
  <c r="C1380" i="37"/>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C1401" i="37"/>
  <c r="D1401" i="37"/>
  <c r="B1402" i="37"/>
  <c r="C1402" i="37"/>
  <c r="D1402" i="37"/>
  <c r="B1403" i="37"/>
  <c r="C1403" i="37"/>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C1427" i="37"/>
  <c r="D1427" i="37"/>
  <c r="B1428" i="37"/>
  <c r="G1428" i="37" s="1"/>
  <c r="C1428" i="37"/>
  <c r="D1428" i="37"/>
  <c r="B1429" i="37"/>
  <c r="G1429" i="37" s="1"/>
  <c r="C1429" i="37"/>
  <c r="D1429" i="37"/>
  <c r="B1430" i="37"/>
  <c r="G1430" i="37" s="1"/>
  <c r="I1430" i="37" s="1"/>
  <c r="C1430" i="37"/>
  <c r="D1430" i="37"/>
  <c r="B1431" i="37"/>
  <c r="G1431" i="37" s="1"/>
  <c r="C1431" i="37"/>
  <c r="D1431" i="37"/>
  <c r="B1432" i="37"/>
  <c r="G1432" i="37" s="1"/>
  <c r="C1432" i="37"/>
  <c r="D1432" i="37"/>
  <c r="B1433" i="37"/>
  <c r="B1434" i="37"/>
  <c r="C1434" i="37"/>
  <c r="D1434" i="37"/>
  <c r="B1435" i="37"/>
  <c r="C1435" i="37"/>
  <c r="D1435" i="37"/>
  <c r="H1435" i="37" s="1"/>
  <c r="B1436" i="37"/>
  <c r="C1436" i="37"/>
  <c r="D1436" i="37"/>
  <c r="B1437" i="37"/>
  <c r="C1437" i="37"/>
  <c r="D1437" i="37"/>
  <c r="H1437" i="37" s="1"/>
  <c r="B1438" i="37"/>
  <c r="C1438" i="37"/>
  <c r="D1438" i="37"/>
  <c r="B1439" i="37"/>
  <c r="C1439" i="37"/>
  <c r="D1439" i="37"/>
  <c r="H1439" i="37" s="1"/>
  <c r="B1440" i="37"/>
  <c r="C1440" i="37"/>
  <c r="D1440" i="37"/>
  <c r="B1441" i="37"/>
  <c r="B1442" i="37"/>
  <c r="B1443" i="37"/>
  <c r="C1443" i="37"/>
  <c r="D1443" i="37"/>
  <c r="H1443" i="37" s="1"/>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s="1"/>
  <c r="B1478" i="37"/>
  <c r="C1478" i="37"/>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C1492" i="37"/>
  <c r="H1492" i="37" s="1"/>
  <c r="B1493" i="37"/>
  <c r="C1493" i="37"/>
  <c r="G1493" i="37" s="1"/>
  <c r="B1494" i="37"/>
  <c r="C1494" i="37"/>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B1507" i="37"/>
  <c r="C1507" i="37"/>
  <c r="B1508" i="37"/>
  <c r="C1508" i="37"/>
  <c r="H1508" i="37" s="1"/>
  <c r="B1509" i="37"/>
  <c r="C1509" i="37"/>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B1559" i="37"/>
  <c r="C1559" i="37"/>
  <c r="B1560" i="37"/>
  <c r="C1560" i="37"/>
  <c r="H1560" i="37" s="1"/>
  <c r="B1561" i="37"/>
  <c r="C1561" i="37"/>
  <c r="Q3" i="3"/>
  <c r="H7" i="3" s="1"/>
  <c r="H1559" i="37"/>
  <c r="H1553" i="37"/>
  <c r="H1549" i="37"/>
  <c r="H1547" i="37"/>
  <c r="H1545" i="37"/>
  <c r="H1543" i="37"/>
  <c r="H1537" i="37"/>
  <c r="H1533" i="37"/>
  <c r="H1529" i="37"/>
  <c r="H1527" i="37"/>
  <c r="H1525" i="37"/>
  <c r="H1523" i="37"/>
  <c r="H1517" i="37"/>
  <c r="H1513" i="37"/>
  <c r="H1507" i="37"/>
  <c r="H1499" i="37"/>
  <c r="H1491" i="37"/>
  <c r="H1485" i="37"/>
  <c r="H1481" i="37"/>
  <c r="H1477" i="37"/>
  <c r="H1475" i="37"/>
  <c r="H1467" i="37"/>
  <c r="H1447" i="37"/>
  <c r="H1444" i="37"/>
  <c r="H1440" i="37"/>
  <c r="H1438" i="37"/>
  <c r="H1436" i="37"/>
  <c r="H1434" i="37"/>
  <c r="H1430" i="37"/>
  <c r="H1429" i="37"/>
  <c r="H1422"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0"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6"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3" i="37"/>
  <c r="H171" i="37"/>
  <c r="H169" i="37"/>
  <c r="H166" i="37"/>
  <c r="H165" i="37"/>
  <c r="H164" i="37"/>
  <c r="H163" i="37"/>
  <c r="H160" i="37"/>
  <c r="H159" i="37"/>
  <c r="H158" i="37"/>
  <c r="H155" i="37"/>
  <c r="H154" i="37"/>
  <c r="H153" i="37"/>
  <c r="H152" i="37"/>
  <c r="H148" i="37"/>
  <c r="H147" i="37"/>
  <c r="H146" i="37"/>
  <c r="H145" i="37"/>
  <c r="H144" i="37"/>
  <c r="H143" i="37"/>
  <c r="H142" i="37"/>
  <c r="H141" i="37"/>
  <c r="H140" i="37"/>
  <c r="H139" i="37"/>
  <c r="H136" i="37"/>
  <c r="H135" i="37"/>
  <c r="H134" i="37"/>
  <c r="H130"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296" i="3" s="1"/>
  <c r="F296" i="3" s="1"/>
  <c r="L3" i="3"/>
  <c r="G6" i="3"/>
  <c r="P3" i="3"/>
  <c r="G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c r="B28" i="3" s="1"/>
  <c r="G29" i="3"/>
  <c r="H29" i="3"/>
  <c r="E29" i="3" s="1"/>
  <c r="G31" i="3"/>
  <c r="H31" i="3"/>
  <c r="G32" i="3"/>
  <c r="H32" i="3"/>
  <c r="G33" i="3"/>
  <c r="H33" i="3"/>
  <c r="E33" i="3" s="1"/>
  <c r="B33" i="3" s="1"/>
  <c r="G34" i="3"/>
  <c r="H34" i="3"/>
  <c r="G35" i="3"/>
  <c r="E35" i="3" s="1"/>
  <c r="H35" i="3"/>
  <c r="G36" i="3"/>
  <c r="H36" i="3"/>
  <c r="G37" i="3"/>
  <c r="H37" i="3"/>
  <c r="E37" i="3"/>
  <c r="B37" i="3" s="1"/>
  <c r="G38" i="3"/>
  <c r="H38" i="3"/>
  <c r="E38" i="3" s="1"/>
  <c r="B38" i="3" s="1"/>
  <c r="G39" i="3"/>
  <c r="H39" i="3"/>
  <c r="G40" i="3"/>
  <c r="H40" i="3"/>
  <c r="G41" i="3"/>
  <c r="H41" i="3"/>
  <c r="E41" i="3" s="1"/>
  <c r="B41" i="3" s="1"/>
  <c r="G42" i="3"/>
  <c r="H42" i="3"/>
  <c r="G43" i="3"/>
  <c r="H43" i="3"/>
  <c r="G44" i="3"/>
  <c r="H44" i="3"/>
  <c r="G45" i="3"/>
  <c r="H45" i="3"/>
  <c r="E45" i="3"/>
  <c r="B45" i="3" s="1"/>
  <c r="G46" i="3"/>
  <c r="H46" i="3"/>
  <c r="E46" i="3" s="1"/>
  <c r="B46" i="3" s="1"/>
  <c r="G47" i="3"/>
  <c r="H47" i="3"/>
  <c r="G48" i="3"/>
  <c r="H48" i="3"/>
  <c r="G49" i="3"/>
  <c r="H49" i="3"/>
  <c r="E49" i="3" s="1"/>
  <c r="B49" i="3" s="1"/>
  <c r="G50" i="3"/>
  <c r="H50" i="3"/>
  <c r="G51" i="3"/>
  <c r="E51" i="3" s="1"/>
  <c r="H51" i="3"/>
  <c r="G52" i="3"/>
  <c r="H52" i="3"/>
  <c r="G53" i="3"/>
  <c r="H53" i="3"/>
  <c r="E53" i="3"/>
  <c r="B53" i="3" s="1"/>
  <c r="G54" i="3"/>
  <c r="H54" i="3"/>
  <c r="E54" i="3" s="1"/>
  <c r="B54" i="3" s="1"/>
  <c r="G55" i="3"/>
  <c r="H55" i="3"/>
  <c r="G56" i="3"/>
  <c r="H56" i="3"/>
  <c r="G57" i="3"/>
  <c r="H57" i="3"/>
  <c r="E57" i="3" s="1"/>
  <c r="B57" i="3" s="1"/>
  <c r="G58" i="3"/>
  <c r="H58" i="3"/>
  <c r="G59" i="3"/>
  <c r="E59" i="3" s="1"/>
  <c r="H59" i="3"/>
  <c r="G60" i="3"/>
  <c r="H60" i="3"/>
  <c r="G61" i="3"/>
  <c r="H61" i="3"/>
  <c r="E61" i="3"/>
  <c r="B61" i="3" s="1"/>
  <c r="G62" i="3"/>
  <c r="H62" i="3"/>
  <c r="E62" i="3" s="1"/>
  <c r="B62" i="3" s="1"/>
  <c r="G63" i="3"/>
  <c r="H63" i="3"/>
  <c r="G64" i="3"/>
  <c r="H64" i="3"/>
  <c r="G65" i="3"/>
  <c r="H65" i="3"/>
  <c r="E65" i="3" s="1"/>
  <c r="B65" i="3" s="1"/>
  <c r="G66" i="3"/>
  <c r="H66" i="3"/>
  <c r="G67" i="3"/>
  <c r="E67" i="3" s="1"/>
  <c r="H67" i="3"/>
  <c r="G68" i="3"/>
  <c r="H68" i="3"/>
  <c r="G69" i="3"/>
  <c r="H69" i="3"/>
  <c r="E69" i="3"/>
  <c r="B69" i="3" s="1"/>
  <c r="G70" i="3"/>
  <c r="H70" i="3"/>
  <c r="E70" i="3" s="1"/>
  <c r="B70" i="3" s="1"/>
  <c r="G71" i="3"/>
  <c r="H71" i="3"/>
  <c r="G72" i="3"/>
  <c r="H72" i="3"/>
  <c r="G73" i="3"/>
  <c r="H73" i="3"/>
  <c r="E73" i="3" s="1"/>
  <c r="B73" i="3" s="1"/>
  <c r="G74" i="3"/>
  <c r="H74" i="3"/>
  <c r="G75" i="3"/>
  <c r="E75" i="3" s="1"/>
  <c r="H75" i="3"/>
  <c r="G76" i="3"/>
  <c r="H76" i="3"/>
  <c r="G77" i="3"/>
  <c r="H77" i="3"/>
  <c r="E77" i="3"/>
  <c r="B77" i="3" s="1"/>
  <c r="G78" i="3"/>
  <c r="H78" i="3"/>
  <c r="E78" i="3" s="1"/>
  <c r="B78" i="3" s="1"/>
  <c r="G79" i="3"/>
  <c r="H79" i="3"/>
  <c r="G80" i="3"/>
  <c r="H80" i="3"/>
  <c r="G81" i="3"/>
  <c r="H81" i="3"/>
  <c r="E81" i="3" s="1"/>
  <c r="B81" i="3" s="1"/>
  <c r="G82" i="3"/>
  <c r="H82" i="3"/>
  <c r="G83" i="3"/>
  <c r="E83" i="3" s="1"/>
  <c r="H83" i="3"/>
  <c r="G84" i="3"/>
  <c r="H84" i="3"/>
  <c r="G85" i="3"/>
  <c r="H85" i="3"/>
  <c r="E85" i="3"/>
  <c r="B85" i="3" s="1"/>
  <c r="G86" i="3"/>
  <c r="H86" i="3"/>
  <c r="E86" i="3" s="1"/>
  <c r="B86" i="3" s="1"/>
  <c r="G87" i="3"/>
  <c r="H87" i="3"/>
  <c r="G88" i="3"/>
  <c r="H88" i="3"/>
  <c r="G89" i="3"/>
  <c r="H89" i="3"/>
  <c r="E89" i="3" s="1"/>
  <c r="B89" i="3" s="1"/>
  <c r="G90" i="3"/>
  <c r="H90" i="3"/>
  <c r="G91" i="3"/>
  <c r="E91" i="3" s="1"/>
  <c r="B91" i="3" s="1"/>
  <c r="H91" i="3"/>
  <c r="G92" i="3"/>
  <c r="H92" i="3"/>
  <c r="G93" i="3"/>
  <c r="H93" i="3"/>
  <c r="E93" i="3"/>
  <c r="B93" i="3" s="1"/>
  <c r="G94" i="3"/>
  <c r="H94" i="3"/>
  <c r="E94" i="3" s="1"/>
  <c r="G95" i="3"/>
  <c r="H95" i="3"/>
  <c r="G96" i="3"/>
  <c r="H96" i="3"/>
  <c r="G97" i="3"/>
  <c r="H97" i="3"/>
  <c r="E97" i="3" s="1"/>
  <c r="B97" i="3" s="1"/>
  <c r="G98" i="3"/>
  <c r="H98" i="3"/>
  <c r="G99" i="3"/>
  <c r="E99" i="3" s="1"/>
  <c r="H99" i="3"/>
  <c r="G100" i="3"/>
  <c r="H100" i="3"/>
  <c r="G101" i="3"/>
  <c r="H101" i="3"/>
  <c r="E101" i="3"/>
  <c r="B101" i="3" s="1"/>
  <c r="G102" i="3"/>
  <c r="H102" i="3"/>
  <c r="E102" i="3" s="1"/>
  <c r="B102" i="3" s="1"/>
  <c r="G103" i="3"/>
  <c r="H103" i="3"/>
  <c r="G104" i="3"/>
  <c r="H104" i="3"/>
  <c r="G105" i="3"/>
  <c r="H105" i="3"/>
  <c r="E105" i="3" s="1"/>
  <c r="B105" i="3" s="1"/>
  <c r="G106" i="3"/>
  <c r="H106" i="3"/>
  <c r="G107" i="3"/>
  <c r="E107" i="3" s="1"/>
  <c r="B107" i="3" s="1"/>
  <c r="H107" i="3"/>
  <c r="G108" i="3"/>
  <c r="H108" i="3"/>
  <c r="G109" i="3"/>
  <c r="H109" i="3"/>
  <c r="E109" i="3"/>
  <c r="B109" i="3" s="1"/>
  <c r="G110" i="3"/>
  <c r="H110" i="3"/>
  <c r="E110" i="3" s="1"/>
  <c r="G111" i="3"/>
  <c r="H111" i="3"/>
  <c r="G112" i="3"/>
  <c r="H112" i="3"/>
  <c r="G113" i="3"/>
  <c r="H113" i="3"/>
  <c r="E113" i="3" s="1"/>
  <c r="B113" i="3" s="1"/>
  <c r="G114" i="3"/>
  <c r="H114" i="3"/>
  <c r="G115" i="3"/>
  <c r="E115" i="3" s="1"/>
  <c r="B115" i="3" s="1"/>
  <c r="H115" i="3"/>
  <c r="G116" i="3"/>
  <c r="H116" i="3"/>
  <c r="G117" i="3"/>
  <c r="H117" i="3"/>
  <c r="E117" i="3"/>
  <c r="B117" i="3" s="1"/>
  <c r="G118" i="3"/>
  <c r="H118" i="3"/>
  <c r="E118" i="3" s="1"/>
  <c r="G119" i="3"/>
  <c r="H119" i="3"/>
  <c r="G120" i="3"/>
  <c r="H120" i="3"/>
  <c r="G121" i="3"/>
  <c r="H121" i="3"/>
  <c r="E121" i="3" s="1"/>
  <c r="B121" i="3" s="1"/>
  <c r="G122" i="3"/>
  <c r="H122" i="3"/>
  <c r="G123" i="3"/>
  <c r="E123" i="3" s="1"/>
  <c r="H123" i="3"/>
  <c r="G124" i="3"/>
  <c r="H124" i="3"/>
  <c r="G125" i="3"/>
  <c r="H125" i="3"/>
  <c r="E125" i="3"/>
  <c r="B125" i="3" s="1"/>
  <c r="G126" i="3"/>
  <c r="H126" i="3"/>
  <c r="E126" i="3" s="1"/>
  <c r="B126" i="3" s="1"/>
  <c r="G127" i="3"/>
  <c r="H127" i="3"/>
  <c r="G128" i="3"/>
  <c r="H128" i="3"/>
  <c r="G129" i="3"/>
  <c r="H129" i="3"/>
  <c r="E129" i="3" s="1"/>
  <c r="B129" i="3" s="1"/>
  <c r="G130" i="3"/>
  <c r="H130" i="3"/>
  <c r="G131" i="3"/>
  <c r="E131" i="3" s="1"/>
  <c r="H131" i="3"/>
  <c r="G132" i="3"/>
  <c r="H132" i="3"/>
  <c r="G133" i="3"/>
  <c r="H133" i="3"/>
  <c r="E133" i="3"/>
  <c r="B133" i="3" s="1"/>
  <c r="G134" i="3"/>
  <c r="H134" i="3"/>
  <c r="E134" i="3" s="1"/>
  <c r="B134" i="3" s="1"/>
  <c r="G135" i="3"/>
  <c r="H135" i="3"/>
  <c r="G136" i="3"/>
  <c r="H136" i="3"/>
  <c r="G137" i="3"/>
  <c r="H137" i="3"/>
  <c r="E137" i="3" s="1"/>
  <c r="B137" i="3" s="1"/>
  <c r="G138" i="3"/>
  <c r="H138" i="3"/>
  <c r="G140" i="3"/>
  <c r="H140" i="3"/>
  <c r="G141" i="3"/>
  <c r="H141" i="3"/>
  <c r="E141" i="3" s="1"/>
  <c r="B141" i="3" s="1"/>
  <c r="G142" i="3"/>
  <c r="H142" i="3"/>
  <c r="G143" i="3"/>
  <c r="E143" i="3" s="1"/>
  <c r="H143" i="3"/>
  <c r="G144" i="3"/>
  <c r="E144" i="3" s="1"/>
  <c r="B144" i="3" s="1"/>
  <c r="H144" i="3"/>
  <c r="G145" i="3"/>
  <c r="H145" i="3"/>
  <c r="E145" i="3"/>
  <c r="B145" i="3" s="1"/>
  <c r="G146" i="3"/>
  <c r="H146" i="3"/>
  <c r="E146" i="3" s="1"/>
  <c r="G147" i="3"/>
  <c r="H147" i="3"/>
  <c r="G148" i="3"/>
  <c r="H148" i="3"/>
  <c r="G149" i="3"/>
  <c r="H149" i="3"/>
  <c r="E149" i="3" s="1"/>
  <c r="B149" i="3" s="1"/>
  <c r="G150" i="3"/>
  <c r="H150" i="3"/>
  <c r="G151" i="3"/>
  <c r="E151" i="3" s="1"/>
  <c r="H151" i="3"/>
  <c r="G152" i="3"/>
  <c r="E152" i="3" s="1"/>
  <c r="B152" i="3" s="1"/>
  <c r="H152" i="3"/>
  <c r="G153" i="3"/>
  <c r="H153" i="3"/>
  <c r="E153" i="3"/>
  <c r="B153" i="3" s="1"/>
  <c r="G154" i="3"/>
  <c r="H154" i="3"/>
  <c r="E154" i="3" s="1"/>
  <c r="G155" i="3"/>
  <c r="H155" i="3"/>
  <c r="G156" i="3"/>
  <c r="H156" i="3"/>
  <c r="T158" i="3"/>
  <c r="G162" i="3"/>
  <c r="E162" i="3" s="1"/>
  <c r="B162" i="3" s="1"/>
  <c r="G164" i="3"/>
  <c r="E164" i="3" s="1"/>
  <c r="G166" i="3"/>
  <c r="E166" i="3" s="1"/>
  <c r="B166" i="3" s="1"/>
  <c r="G212" i="3"/>
  <c r="H212" i="3"/>
  <c r="G260" i="3"/>
  <c r="H260" i="3"/>
  <c r="G263" i="3"/>
  <c r="H263" i="3"/>
  <c r="G264" i="3"/>
  <c r="H264" i="3"/>
  <c r="E264" i="3" s="1"/>
  <c r="G265" i="3"/>
  <c r="H265" i="3"/>
  <c r="E265" i="3" s="1"/>
  <c r="G268" i="3"/>
  <c r="H268" i="3"/>
  <c r="E268" i="3" s="1"/>
  <c r="B268" i="3" s="1"/>
  <c r="G269" i="3"/>
  <c r="H269" i="3"/>
  <c r="G270" i="3"/>
  <c r="E270" i="3" s="1"/>
  <c r="H270" i="3"/>
  <c r="G271" i="3"/>
  <c r="H271" i="3"/>
  <c r="G272" i="3"/>
  <c r="H272" i="3"/>
  <c r="E272" i="3"/>
  <c r="G273" i="3"/>
  <c r="H273" i="3"/>
  <c r="E273" i="3" s="1"/>
  <c r="G274" i="3"/>
  <c r="H274" i="3"/>
  <c r="G275" i="3"/>
  <c r="H275" i="3"/>
  <c r="G276" i="3"/>
  <c r="H276" i="3"/>
  <c r="E276" i="3" s="1"/>
  <c r="B276" i="3" s="1"/>
  <c r="G277" i="3"/>
  <c r="H277" i="3"/>
  <c r="G278" i="3"/>
  <c r="E278" i="3" s="1"/>
  <c r="G279" i="3"/>
  <c r="H279" i="3"/>
  <c r="E279" i="3" s="1"/>
  <c r="G280" i="3"/>
  <c r="H280" i="3"/>
  <c r="E280" i="3" s="1"/>
  <c r="B280" i="3" s="1"/>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7" i="3"/>
  <c r="F286" i="3"/>
  <c r="F285" i="3"/>
  <c r="F284" i="3"/>
  <c r="F283" i="3"/>
  <c r="F282" i="3"/>
  <c r="F281" i="3"/>
  <c r="F280" i="3"/>
  <c r="F279" i="3"/>
  <c r="B279" i="3"/>
  <c r="F278" i="3"/>
  <c r="F277" i="3"/>
  <c r="F276" i="3"/>
  <c r="F275" i="3"/>
  <c r="F274" i="3"/>
  <c r="F273" i="3"/>
  <c r="B273" i="3" s="1"/>
  <c r="F272" i="3"/>
  <c r="B272" i="3" s="1"/>
  <c r="F271" i="3"/>
  <c r="F270" i="3"/>
  <c r="F269" i="3"/>
  <c r="F268" i="3"/>
  <c r="F267" i="3"/>
  <c r="F266" i="3"/>
  <c r="F265" i="3"/>
  <c r="F264" i="3"/>
  <c r="F263" i="3"/>
  <c r="F262" i="3"/>
  <c r="L260" i="3"/>
  <c r="F260" i="3" s="1"/>
  <c r="L258" i="3"/>
  <c r="M258" i="3"/>
  <c r="L257" i="3"/>
  <c r="F257" i="3" s="1"/>
  <c r="B257" i="3" s="1"/>
  <c r="M257" i="3"/>
  <c r="L256" i="3"/>
  <c r="F256" i="3" s="1"/>
  <c r="B256" i="3" s="1"/>
  <c r="M256" i="3"/>
  <c r="L255" i="3"/>
  <c r="M255" i="3"/>
  <c r="F255" i="3"/>
  <c r="B255" i="3" s="1"/>
  <c r="L254" i="3"/>
  <c r="M254" i="3"/>
  <c r="F254" i="3" s="1"/>
  <c r="B254" i="3" s="1"/>
  <c r="L253" i="3"/>
  <c r="M253" i="3"/>
  <c r="L252" i="3"/>
  <c r="M252" i="3"/>
  <c r="L251" i="3"/>
  <c r="M251" i="3"/>
  <c r="L250" i="3"/>
  <c r="M250" i="3"/>
  <c r="F250" i="3" s="1"/>
  <c r="B250" i="3" s="1"/>
  <c r="L249" i="3"/>
  <c r="M249" i="3"/>
  <c r="L248" i="3"/>
  <c r="M248" i="3"/>
  <c r="L247" i="3"/>
  <c r="M247" i="3"/>
  <c r="F247" i="3" s="1"/>
  <c r="B247" i="3" s="1"/>
  <c r="L246" i="3"/>
  <c r="M246" i="3"/>
  <c r="L245" i="3"/>
  <c r="F245" i="3" s="1"/>
  <c r="B245" i="3" s="1"/>
  <c r="M245" i="3"/>
  <c r="L244" i="3"/>
  <c r="F244" i="3" s="1"/>
  <c r="B244" i="3" s="1"/>
  <c r="M244" i="3"/>
  <c r="L243" i="3"/>
  <c r="F243" i="3" s="1"/>
  <c r="B243" i="3" s="1"/>
  <c r="M243" i="3"/>
  <c r="L242" i="3"/>
  <c r="M242" i="3"/>
  <c r="L241" i="3"/>
  <c r="F241" i="3" s="1"/>
  <c r="B241" i="3" s="1"/>
  <c r="M241" i="3"/>
  <c r="L240" i="3"/>
  <c r="F240" i="3" s="1"/>
  <c r="B240" i="3" s="1"/>
  <c r="M240" i="3"/>
  <c r="L239" i="3"/>
  <c r="F239" i="3" s="1"/>
  <c r="B239" i="3" s="1"/>
  <c r="M239" i="3"/>
  <c r="L238" i="3"/>
  <c r="M238" i="3"/>
  <c r="L237" i="3"/>
  <c r="F237" i="3" s="1"/>
  <c r="B237" i="3" s="1"/>
  <c r="M237" i="3"/>
  <c r="L236" i="3"/>
  <c r="F236" i="3" s="1"/>
  <c r="B236" i="3" s="1"/>
  <c r="M236" i="3"/>
  <c r="L235" i="3"/>
  <c r="M235" i="3"/>
  <c r="F235" i="3"/>
  <c r="B235" i="3" s="1"/>
  <c r="L234" i="3"/>
  <c r="M234" i="3"/>
  <c r="F234" i="3" s="1"/>
  <c r="B234" i="3" s="1"/>
  <c r="L233" i="3"/>
  <c r="M233" i="3"/>
  <c r="L232" i="3"/>
  <c r="M232" i="3"/>
  <c r="L231" i="3"/>
  <c r="M231" i="3"/>
  <c r="F231" i="3" s="1"/>
  <c r="B231" i="3" s="1"/>
  <c r="L230" i="3"/>
  <c r="M230" i="3"/>
  <c r="L229" i="3"/>
  <c r="F229" i="3" s="1"/>
  <c r="B229" i="3" s="1"/>
  <c r="M229" i="3"/>
  <c r="L228" i="3"/>
  <c r="F228" i="3" s="1"/>
  <c r="B228" i="3" s="1"/>
  <c r="M228" i="3"/>
  <c r="L227" i="3"/>
  <c r="M227" i="3"/>
  <c r="F227" i="3"/>
  <c r="B227" i="3" s="1"/>
  <c r="L226" i="3"/>
  <c r="M226" i="3"/>
  <c r="F226" i="3" s="1"/>
  <c r="B226" i="3" s="1"/>
  <c r="L225" i="3"/>
  <c r="M225" i="3"/>
  <c r="L224" i="3"/>
  <c r="M224" i="3"/>
  <c r="L223" i="3"/>
  <c r="M223" i="3"/>
  <c r="F223" i="3" s="1"/>
  <c r="B223" i="3" s="1"/>
  <c r="L222" i="3"/>
  <c r="M222" i="3"/>
  <c r="L221" i="3"/>
  <c r="F221" i="3" s="1"/>
  <c r="B221" i="3" s="1"/>
  <c r="M221" i="3"/>
  <c r="L220" i="3"/>
  <c r="F220" i="3" s="1"/>
  <c r="B220" i="3" s="1"/>
  <c r="M220" i="3"/>
  <c r="L219" i="3"/>
  <c r="F219" i="3" s="1"/>
  <c r="B219" i="3" s="1"/>
  <c r="M219" i="3"/>
  <c r="L218" i="3"/>
  <c r="M218" i="3"/>
  <c r="L217" i="3"/>
  <c r="F217" i="3" s="1"/>
  <c r="B217" i="3" s="1"/>
  <c r="M217" i="3"/>
  <c r="L216" i="3"/>
  <c r="F216" i="3" s="1"/>
  <c r="B216" i="3" s="1"/>
  <c r="M216" i="3"/>
  <c r="L215" i="3"/>
  <c r="M215" i="3"/>
  <c r="F215" i="3"/>
  <c r="B215" i="3" s="1"/>
  <c r="L214" i="3"/>
  <c r="M214" i="3"/>
  <c r="F214" i="3" s="1"/>
  <c r="B214" i="3" s="1"/>
  <c r="L213" i="3"/>
  <c r="M213" i="3"/>
  <c r="F212" i="3"/>
  <c r="L210" i="3"/>
  <c r="M210" i="3"/>
  <c r="F210" i="3"/>
  <c r="B210" i="3" s="1"/>
  <c r="L209" i="3"/>
  <c r="L208" i="3"/>
  <c r="F208" i="3" s="1"/>
  <c r="B208" i="3" s="1"/>
  <c r="L207" i="3"/>
  <c r="M207" i="3"/>
  <c r="L206" i="3"/>
  <c r="M206" i="3"/>
  <c r="L205" i="3"/>
  <c r="M205" i="3"/>
  <c r="L204" i="3"/>
  <c r="M204" i="3"/>
  <c r="L203" i="3"/>
  <c r="M203" i="3"/>
  <c r="L202" i="3"/>
  <c r="F202" i="3" s="1"/>
  <c r="B202" i="3" s="1"/>
  <c r="M202" i="3"/>
  <c r="L201" i="3"/>
  <c r="M201" i="3"/>
  <c r="L200" i="3"/>
  <c r="M200" i="3"/>
  <c r="L199" i="3"/>
  <c r="M199" i="3"/>
  <c r="B164" i="3"/>
  <c r="B154" i="3"/>
  <c r="B151" i="3"/>
  <c r="B146" i="3"/>
  <c r="B143" i="3"/>
  <c r="B131" i="3"/>
  <c r="B123" i="3"/>
  <c r="B118" i="3"/>
  <c r="B110" i="3"/>
  <c r="B99" i="3"/>
  <c r="B94" i="3"/>
  <c r="B83" i="3"/>
  <c r="B75" i="3"/>
  <c r="B67" i="3"/>
  <c r="B59" i="3"/>
  <c r="B51" i="3"/>
  <c r="B35" i="3"/>
  <c r="B29" i="3"/>
  <c r="B26" i="3"/>
  <c r="L7" i="3"/>
  <c r="F7" i="3" s="1"/>
  <c r="F4" i="3" s="1"/>
  <c r="F261"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2"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F46" i="36"/>
  <c r="F50" i="36"/>
  <c r="F114" i="36"/>
  <c r="F43" i="36"/>
  <c r="F13" i="36"/>
  <c r="F29" i="36"/>
  <c r="F73" i="36"/>
  <c r="F97" i="36"/>
  <c r="G1217" i="37" l="1"/>
  <c r="G1216" i="37"/>
  <c r="G1214" i="37"/>
  <c r="E263" i="3"/>
  <c r="B263" i="3" s="1"/>
  <c r="E285" i="3"/>
  <c r="B285" i="3" s="1"/>
  <c r="H1137" i="37"/>
  <c r="G1133" i="37"/>
  <c r="H980" i="37"/>
  <c r="F205" i="3"/>
  <c r="B205" i="3" s="1"/>
  <c r="E43" i="3"/>
  <c r="B43" i="3" s="1"/>
  <c r="H640" i="37"/>
  <c r="K59" i="42"/>
  <c r="H1473" i="37"/>
  <c r="H64" i="37"/>
  <c r="H50" i="37"/>
  <c r="H41" i="37"/>
  <c r="D424" i="1"/>
  <c r="G541" i="37"/>
  <c r="F200" i="3"/>
  <c r="B200" i="3" s="1"/>
  <c r="F201" i="3"/>
  <c r="B201" i="3" s="1"/>
  <c r="F206" i="3"/>
  <c r="B206" i="3" s="1"/>
  <c r="F207" i="3"/>
  <c r="B207" i="3" s="1"/>
  <c r="F209" i="3"/>
  <c r="B209" i="3" s="1"/>
  <c r="F213" i="3"/>
  <c r="B213" i="3" s="1"/>
  <c r="F218" i="3"/>
  <c r="B218" i="3" s="1"/>
  <c r="F222" i="3"/>
  <c r="B222" i="3" s="1"/>
  <c r="F224" i="3"/>
  <c r="B224" i="3" s="1"/>
  <c r="F225" i="3"/>
  <c r="B225" i="3" s="1"/>
  <c r="F230" i="3"/>
  <c r="B230" i="3" s="1"/>
  <c r="F232" i="3"/>
  <c r="B232" i="3" s="1"/>
  <c r="F233" i="3"/>
  <c r="B233" i="3" s="1"/>
  <c r="F238" i="3"/>
  <c r="B238" i="3" s="1"/>
  <c r="F242" i="3"/>
  <c r="B242" i="3" s="1"/>
  <c r="F246" i="3"/>
  <c r="B246" i="3" s="1"/>
  <c r="F248" i="3"/>
  <c r="B248" i="3" s="1"/>
  <c r="F249" i="3"/>
  <c r="B249" i="3" s="1"/>
  <c r="F251" i="3"/>
  <c r="B251" i="3" s="1"/>
  <c r="F252" i="3"/>
  <c r="B252" i="3" s="1"/>
  <c r="F253" i="3"/>
  <c r="B253" i="3" s="1"/>
  <c r="F258" i="3"/>
  <c r="B258" i="3" s="1"/>
  <c r="F211" i="3"/>
  <c r="B211" i="3" s="1"/>
  <c r="K20" i="37"/>
  <c r="E283" i="3"/>
  <c r="B283" i="3" s="1"/>
  <c r="E277" i="3"/>
  <c r="E275" i="3"/>
  <c r="B275" i="3" s="1"/>
  <c r="E274" i="3"/>
  <c r="B274" i="3" s="1"/>
  <c r="E269" i="3"/>
  <c r="B269" i="3" s="1"/>
  <c r="E155" i="3"/>
  <c r="B155" i="3" s="1"/>
  <c r="E150" i="3"/>
  <c r="B150" i="3" s="1"/>
  <c r="E147" i="3"/>
  <c r="B147" i="3" s="1"/>
  <c r="E142" i="3"/>
  <c r="B142" i="3" s="1"/>
  <c r="E314" i="1"/>
  <c r="D303" i="37" s="1"/>
  <c r="E141" i="1"/>
  <c r="D131" i="37" s="1"/>
  <c r="E257" i="1"/>
  <c r="D247" i="37" s="1"/>
  <c r="E532" i="1"/>
  <c r="D520" i="37" s="1"/>
  <c r="D518" i="1"/>
  <c r="C506" i="37" s="1"/>
  <c r="D462" i="1"/>
  <c r="D223" i="1"/>
  <c r="D628" i="1"/>
  <c r="F51" i="27"/>
  <c r="E175" i="27"/>
  <c r="D1140" i="37" s="1"/>
  <c r="F195" i="27"/>
  <c r="E42" i="36"/>
  <c r="D1317" i="37" s="1"/>
  <c r="D42" i="36"/>
  <c r="E12" i="36"/>
  <c r="D12" i="36"/>
  <c r="C1287" i="37" s="1"/>
  <c r="D30" i="30"/>
  <c r="C1486" i="37" s="1"/>
  <c r="H1486" i="37" s="1"/>
  <c r="B278" i="3"/>
  <c r="F292" i="3"/>
  <c r="G1478" i="37"/>
  <c r="G1476" i="37"/>
  <c r="G1475" i="37"/>
  <c r="G1444" i="37"/>
  <c r="I1444" i="37" s="1"/>
  <c r="G1440" i="37"/>
  <c r="I1440" i="37" s="1"/>
  <c r="G1438" i="37"/>
  <c r="I1438" i="37" s="1"/>
  <c r="G1436" i="37"/>
  <c r="I1436" i="37" s="1"/>
  <c r="G1434" i="37"/>
  <c r="I1434" i="37" s="1"/>
  <c r="H1432" i="37"/>
  <c r="I1432" i="37" s="1"/>
  <c r="H1431" i="37"/>
  <c r="H1428" i="37"/>
  <c r="I1428" i="37" s="1"/>
  <c r="H1427" i="37"/>
  <c r="H1421" i="37"/>
  <c r="G1379" i="37"/>
  <c r="G1377" i="37"/>
  <c r="G1369" i="37"/>
  <c r="G1367" i="37"/>
  <c r="G1365" i="37"/>
  <c r="H1363" i="37"/>
  <c r="H1359" i="37"/>
  <c r="G1346" i="37"/>
  <c r="G1344" i="37"/>
  <c r="G1341" i="37"/>
  <c r="G1339" i="37"/>
  <c r="G1337" i="37"/>
  <c r="H1335" i="37"/>
  <c r="G1320" i="37"/>
  <c r="G1303" i="37"/>
  <c r="G1301" i="37"/>
  <c r="G1299" i="37"/>
  <c r="G1297"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10" i="37"/>
  <c r="G1127" i="37"/>
  <c r="G1125" i="37"/>
  <c r="G1123" i="37"/>
  <c r="G1121" i="37"/>
  <c r="G1115" i="37"/>
  <c r="G1113" i="37"/>
  <c r="G1111" i="37"/>
  <c r="G1109" i="37"/>
  <c r="G1107" i="37"/>
  <c r="G1094" i="37"/>
  <c r="G1092" i="37"/>
  <c r="G1090" i="37"/>
  <c r="G1086" i="37"/>
  <c r="G1084" i="37"/>
  <c r="G1082" i="37"/>
  <c r="G1080" i="37"/>
  <c r="G1078" i="37"/>
  <c r="G1038" i="37"/>
  <c r="G1036" i="37"/>
  <c r="G1026" i="37"/>
  <c r="G1024" i="37"/>
  <c r="G1014" i="37"/>
  <c r="E138" i="3"/>
  <c r="B138" i="3" s="1"/>
  <c r="E136" i="3"/>
  <c r="B136" i="3" s="1"/>
  <c r="E135" i="3"/>
  <c r="B135" i="3" s="1"/>
  <c r="E130" i="3"/>
  <c r="B130" i="3" s="1"/>
  <c r="E128" i="3"/>
  <c r="B128" i="3" s="1"/>
  <c r="E127" i="3"/>
  <c r="B127" i="3" s="1"/>
  <c r="E122" i="3"/>
  <c r="B122" i="3" s="1"/>
  <c r="E120" i="3"/>
  <c r="B120" i="3" s="1"/>
  <c r="E119" i="3"/>
  <c r="B119" i="3" s="1"/>
  <c r="E114" i="3"/>
  <c r="B114" i="3" s="1"/>
  <c r="E112" i="3"/>
  <c r="B112" i="3" s="1"/>
  <c r="E111" i="3"/>
  <c r="B111" i="3" s="1"/>
  <c r="E106" i="3"/>
  <c r="B106" i="3" s="1"/>
  <c r="E104" i="3"/>
  <c r="B104" i="3" s="1"/>
  <c r="E103" i="3"/>
  <c r="B103" i="3" s="1"/>
  <c r="E98" i="3"/>
  <c r="B98" i="3" s="1"/>
  <c r="E96" i="3"/>
  <c r="B96" i="3" s="1"/>
  <c r="E95" i="3"/>
  <c r="B95" i="3" s="1"/>
  <c r="E90" i="3"/>
  <c r="B90" i="3" s="1"/>
  <c r="E88" i="3"/>
  <c r="B88" i="3" s="1"/>
  <c r="E87" i="3"/>
  <c r="B87" i="3" s="1"/>
  <c r="E82" i="3"/>
  <c r="B82" i="3" s="1"/>
  <c r="E79" i="3"/>
  <c r="B79" i="3" s="1"/>
  <c r="E74" i="3"/>
  <c r="B74" i="3" s="1"/>
  <c r="E71" i="3"/>
  <c r="B71" i="3" s="1"/>
  <c r="E66" i="3"/>
  <c r="B66" i="3" s="1"/>
  <c r="E63" i="3"/>
  <c r="B63" i="3" s="1"/>
  <c r="E58" i="3"/>
  <c r="B58" i="3" s="1"/>
  <c r="E55" i="3"/>
  <c r="B55" i="3" s="1"/>
  <c r="E50" i="3"/>
  <c r="B50" i="3" s="1"/>
  <c r="E47" i="3"/>
  <c r="B47" i="3" s="1"/>
  <c r="E42" i="3"/>
  <c r="B42" i="3" s="1"/>
  <c r="E39" i="3"/>
  <c r="B39" i="3" s="1"/>
  <c r="E34" i="3"/>
  <c r="B34" i="3" s="1"/>
  <c r="E31" i="3"/>
  <c r="B31" i="3" s="1"/>
  <c r="H1489" i="37"/>
  <c r="H1493" i="37"/>
  <c r="G1561" i="37"/>
  <c r="G1558" i="37"/>
  <c r="G1509" i="37"/>
  <c r="G1506" i="37"/>
  <c r="G1494" i="37"/>
  <c r="G1492" i="37"/>
  <c r="G1491" i="37"/>
  <c r="G1443" i="37"/>
  <c r="G1439" i="37"/>
  <c r="G1437" i="37"/>
  <c r="G1435" i="37"/>
  <c r="G1403" i="37"/>
  <c r="G1401" i="37"/>
  <c r="G1380" i="37"/>
  <c r="G1378" i="37"/>
  <c r="G1347" i="37"/>
  <c r="G1345" i="37"/>
  <c r="G1211" i="37"/>
  <c r="G1126" i="37"/>
  <c r="G1124" i="37"/>
  <c r="G1122" i="37"/>
  <c r="G1120" i="37"/>
  <c r="G1114" i="37"/>
  <c r="G1095" i="37"/>
  <c r="G1093" i="37"/>
  <c r="G1091" i="37"/>
  <c r="G1087" i="37"/>
  <c r="G1085" i="37"/>
  <c r="G1083" i="37"/>
  <c r="G1081" i="37"/>
  <c r="G1079" i="37"/>
  <c r="G1077" i="37"/>
  <c r="G1037" i="37"/>
  <c r="G1035" i="37"/>
  <c r="G1033" i="37"/>
  <c r="G1031" i="37"/>
  <c r="G1029" i="37"/>
  <c r="G1025" i="37"/>
  <c r="G1015" i="37"/>
  <c r="G1013" i="37"/>
  <c r="G1009"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1054" i="37"/>
  <c r="G1052" i="37"/>
  <c r="G1048" i="37"/>
  <c r="G1046" i="37"/>
  <c r="G1042" i="37"/>
  <c r="G1032" i="37"/>
  <c r="G1030" i="37"/>
  <c r="G1028" i="37"/>
  <c r="G1021" i="37"/>
  <c r="G1019" i="37"/>
  <c r="G1017" i="37"/>
  <c r="G1010"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589" i="37"/>
  <c r="G587" i="37"/>
  <c r="G577" i="37"/>
  <c r="G575" i="37"/>
  <c r="G573" i="37"/>
  <c r="G569" i="37"/>
  <c r="G563" i="37"/>
  <c r="G552" i="37"/>
  <c r="G550" i="37"/>
  <c r="G548" i="37"/>
  <c r="G540" i="37"/>
  <c r="G538" i="37"/>
  <c r="G536" i="37"/>
  <c r="G532" i="37"/>
  <c r="G530" i="37"/>
  <c r="G528"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7" i="37"/>
  <c r="G683" i="37"/>
  <c r="G681" i="37"/>
  <c r="G679" i="37"/>
  <c r="G677" i="37"/>
  <c r="G675" i="37"/>
  <c r="G673" i="37"/>
  <c r="G671" i="37"/>
  <c r="G669" i="37"/>
  <c r="G667" i="37"/>
  <c r="G663" i="37"/>
  <c r="G661" i="37"/>
  <c r="G657" i="37"/>
  <c r="G655" i="37"/>
  <c r="G653" i="37"/>
  <c r="G651" i="37"/>
  <c r="G649" i="37"/>
  <c r="G592" i="37"/>
  <c r="G588" i="37"/>
  <c r="G586" i="37"/>
  <c r="G580" i="37"/>
  <c r="G533" i="37"/>
  <c r="G531"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86" i="37"/>
  <c r="G684" i="37"/>
  <c r="G682" i="37"/>
  <c r="G680" i="37"/>
  <c r="G678" i="37"/>
  <c r="G676" i="37"/>
  <c r="G674" i="37"/>
  <c r="G672" i="37"/>
  <c r="G670" i="37"/>
  <c r="G668" i="37"/>
  <c r="G664" i="37"/>
  <c r="G662" i="37"/>
  <c r="G660" i="37"/>
  <c r="G658" i="37"/>
  <c r="G656" i="37"/>
  <c r="G654" i="37"/>
  <c r="G652" i="37"/>
  <c r="G650" i="37"/>
  <c r="G593" i="37"/>
  <c r="G591" i="37"/>
  <c r="G583" i="37"/>
  <c r="G579" i="37"/>
  <c r="G574" i="37"/>
  <c r="G570" i="37"/>
  <c r="G564" i="37"/>
  <c r="G553" i="37"/>
  <c r="G551" i="37"/>
  <c r="G549" i="37"/>
  <c r="G547" i="37"/>
  <c r="G545" i="37"/>
  <c r="G543" i="37"/>
  <c r="G539" i="37"/>
  <c r="G537" i="37"/>
  <c r="G535" i="37"/>
  <c r="G527" i="37"/>
  <c r="G525" i="37"/>
  <c r="G523" i="37"/>
  <c r="G517" i="37"/>
  <c r="G515" i="37"/>
  <c r="G511" i="37"/>
  <c r="G508" i="37"/>
  <c r="G496" i="37"/>
  <c r="G494" i="37"/>
  <c r="G492" i="37"/>
  <c r="G490" i="37"/>
  <c r="G488" i="37"/>
  <c r="G484" i="37"/>
  <c r="G482" i="37"/>
  <c r="G474" i="37"/>
  <c r="G470" i="37"/>
  <c r="G462" i="37"/>
  <c r="G458" i="37"/>
  <c r="G452" i="37"/>
  <c r="G448" i="37"/>
  <c r="G432" i="37"/>
  <c r="G430" i="37"/>
  <c r="G428" i="37"/>
  <c r="G279" i="37"/>
  <c r="G277" i="37"/>
  <c r="G275" i="37"/>
  <c r="G518" i="37"/>
  <c r="G512" i="37"/>
  <c r="G497" i="37"/>
  <c r="G495" i="37"/>
  <c r="G485" i="37"/>
  <c r="G483" i="37"/>
  <c r="G471" i="37"/>
  <c r="G459" i="37"/>
  <c r="G453" i="37"/>
  <c r="G449" i="37"/>
  <c r="G447" i="37"/>
  <c r="G437" i="37"/>
  <c r="G435" i="37"/>
  <c r="G431" i="37"/>
  <c r="G429" i="37"/>
  <c r="G427" i="37"/>
  <c r="G425" i="37"/>
  <c r="G423" i="37"/>
  <c r="G417" i="37"/>
  <c r="G415" i="37"/>
  <c r="G403" i="37"/>
  <c r="G401" i="37"/>
  <c r="G397" i="37"/>
  <c r="G395" i="37"/>
  <c r="G329" i="37"/>
  <c r="G321" i="37"/>
  <c r="G319" i="37"/>
  <c r="G307" i="37"/>
  <c r="G305" i="37"/>
  <c r="G301" i="37"/>
  <c r="G299" i="37"/>
  <c r="G297" i="37"/>
  <c r="G288" i="37"/>
  <c r="G278" i="37"/>
  <c r="G276" i="37"/>
  <c r="G274" i="37"/>
  <c r="G272" i="37"/>
  <c r="G270" i="37"/>
  <c r="G268" i="37"/>
  <c r="G261" i="37"/>
  <c r="G257" i="37"/>
  <c r="G255" i="37"/>
  <c r="G240" i="37"/>
  <c r="G233" i="37"/>
  <c r="G147" i="37"/>
  <c r="G145" i="37"/>
  <c r="G143" i="37"/>
  <c r="G141" i="37"/>
  <c r="G139" i="37"/>
  <c r="G135" i="37"/>
  <c r="G34" i="37"/>
  <c r="G11" i="37"/>
  <c r="G9" i="37"/>
  <c r="G7" i="37"/>
  <c r="G5" i="37"/>
  <c r="G505" i="37"/>
  <c r="G503" i="37"/>
  <c r="G501" i="37"/>
  <c r="G499" i="37"/>
  <c r="G491" i="37"/>
  <c r="G489" i="37"/>
  <c r="G487" i="37"/>
  <c r="G479" i="37"/>
  <c r="G477" i="37"/>
  <c r="G473" i="37"/>
  <c r="G467" i="37"/>
  <c r="G465" i="37"/>
  <c r="G461" i="37"/>
  <c r="G455" i="37"/>
  <c r="G444" i="37"/>
  <c r="G442" i="37"/>
  <c r="G440" i="37"/>
  <c r="G436" i="37"/>
  <c r="G434" i="37"/>
  <c r="G424" i="37"/>
  <c r="G422" i="37"/>
  <c r="G420" i="37"/>
  <c r="G416" i="37"/>
  <c r="G414" i="37"/>
  <c r="G402" i="37"/>
  <c r="G398" i="37"/>
  <c r="G396" i="37"/>
  <c r="G330" i="37"/>
  <c r="G322" i="37"/>
  <c r="G320" i="37"/>
  <c r="G308" i="37"/>
  <c r="G306" i="37"/>
  <c r="G302" i="37"/>
  <c r="G300" i="37"/>
  <c r="G298" i="37"/>
  <c r="G285" i="37"/>
  <c r="G271" i="37"/>
  <c r="G269" i="37"/>
  <c r="G262" i="37"/>
  <c r="G260" i="37"/>
  <c r="G256" i="37"/>
  <c r="G241" i="37"/>
  <c r="G234" i="37"/>
  <c r="G148" i="37"/>
  <c r="G146" i="37"/>
  <c r="G144" i="37"/>
  <c r="G142" i="37"/>
  <c r="G140" i="37"/>
  <c r="G136" i="37"/>
  <c r="G130" i="37"/>
  <c r="G35" i="37"/>
  <c r="G12" i="37"/>
  <c r="G10" i="37"/>
  <c r="G8" i="37"/>
  <c r="G6" i="37"/>
  <c r="F203" i="3"/>
  <c r="B203" i="3" s="1"/>
  <c r="E30" i="3"/>
  <c r="B30" i="3" s="1"/>
  <c r="G1402" i="37"/>
  <c r="G1209" i="37"/>
  <c r="G1056" i="37"/>
  <c r="G1044" i="37"/>
  <c r="G1011" i="37"/>
  <c r="G1008" i="37"/>
  <c r="G1007" i="37"/>
  <c r="G999" i="37"/>
  <c r="G997" i="37"/>
  <c r="G991" i="37"/>
  <c r="G696" i="37"/>
  <c r="G694" i="37"/>
  <c r="G692" i="37"/>
  <c r="G690" i="37"/>
  <c r="G689" i="37"/>
  <c r="G688" i="37"/>
  <c r="G685" i="37"/>
  <c r="G666" i="37"/>
  <c r="G665" i="37"/>
  <c r="G659" i="37"/>
  <c r="E260" i="3"/>
  <c r="G289" i="37"/>
  <c r="G287" i="37"/>
  <c r="F421" i="1"/>
  <c r="G286" i="37"/>
  <c r="F204" i="3"/>
  <c r="B204" i="3" s="1"/>
  <c r="G134" i="37"/>
  <c r="G133" i="37"/>
  <c r="D134" i="1"/>
  <c r="C124" i="37" s="1"/>
  <c r="G129" i="37"/>
  <c r="F199" i="3"/>
  <c r="C412" i="37"/>
  <c r="F424" i="1"/>
  <c r="D647" i="1"/>
  <c r="C635" i="37" s="1"/>
  <c r="G179" i="3"/>
  <c r="E179" i="3" s="1"/>
  <c r="B179" i="3" s="1"/>
  <c r="G481" i="37"/>
  <c r="H162" i="37"/>
  <c r="B277" i="3"/>
  <c r="H5" i="3"/>
  <c r="G5" i="3"/>
  <c r="H195" i="37"/>
  <c r="E92" i="27"/>
  <c r="D1058" i="37"/>
  <c r="D96" i="36"/>
  <c r="K55" i="42"/>
  <c r="B7" i="1"/>
  <c r="F68" i="36"/>
  <c r="F101" i="36"/>
  <c r="F125" i="36"/>
  <c r="F35" i="1"/>
  <c r="F68" i="1"/>
  <c r="F109" i="1"/>
  <c r="F130"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4" i="27"/>
  <c r="E187" i="27"/>
  <c r="D1152" i="37" s="1"/>
  <c r="F188" i="27"/>
  <c r="D203" i="27"/>
  <c r="F221" i="27"/>
  <c r="F231" i="27"/>
  <c r="E235" i="27"/>
  <c r="D1200" i="37" s="1"/>
  <c r="F236" i="27"/>
  <c r="F247" i="27"/>
  <c r="D254" i="27"/>
  <c r="C1219" i="37" s="1"/>
  <c r="F255" i="27"/>
  <c r="E45" i="33"/>
  <c r="D1457" i="37" s="1"/>
  <c r="H1389" i="37"/>
  <c r="G1389" i="37"/>
  <c r="H1357" i="37"/>
  <c r="H1295" i="37"/>
  <c r="H1497" i="37"/>
  <c r="G1497" i="37"/>
  <c r="D13" i="30"/>
  <c r="C1469" i="37" s="1"/>
  <c r="H1469" i="37" s="1"/>
  <c r="H1557" i="37"/>
  <c r="G1557" i="37"/>
  <c r="B270" i="3"/>
  <c r="B265" i="3"/>
  <c r="B264" i="3"/>
  <c r="I14" i="3"/>
  <c r="I7" i="3"/>
  <c r="I1439" i="37"/>
  <c r="I1437" i="37"/>
  <c r="I1435"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1004" i="37"/>
  <c r="G1002" i="37"/>
  <c r="G976" i="37"/>
  <c r="G974" i="37"/>
  <c r="G972" i="37"/>
  <c r="G970" i="37"/>
  <c r="G968" i="37"/>
  <c r="I1431" i="37"/>
  <c r="I1429" i="37"/>
  <c r="I1427" i="37"/>
  <c r="G1362" i="37"/>
  <c r="G1360" i="37"/>
  <c r="G1358" i="37"/>
  <c r="G1334" i="37"/>
  <c r="G1330" i="37"/>
  <c r="G1328" i="37"/>
  <c r="G1326" i="37"/>
  <c r="G1315" i="37"/>
  <c r="G1313" i="37"/>
  <c r="G1311" i="37"/>
  <c r="G1294" i="37"/>
  <c r="G1290" i="37"/>
  <c r="G1005" i="37"/>
  <c r="G1003" i="37"/>
  <c r="G1001" i="37"/>
  <c r="G975" i="37"/>
  <c r="G973" i="37"/>
  <c r="G971" i="37"/>
  <c r="G969" i="37"/>
  <c r="G967" i="37"/>
  <c r="G998" i="37"/>
  <c r="G994" i="37"/>
  <c r="G648" i="37"/>
  <c r="G646" i="37"/>
  <c r="G644" i="37"/>
  <c r="G622" i="37"/>
  <c r="G607" i="37"/>
  <c r="G605" i="37"/>
  <c r="G647" i="37"/>
  <c r="G645" i="37"/>
  <c r="G643" i="37"/>
  <c r="G621" i="37"/>
  <c r="G606" i="37"/>
  <c r="G604"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H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G635" i="37" l="1"/>
  <c r="E234" i="27"/>
  <c r="D1199" i="37" s="1"/>
  <c r="H1040" i="37"/>
  <c r="F75" i="27"/>
  <c r="G124" i="37"/>
  <c r="D47" i="30"/>
  <c r="C1503" i="37" s="1"/>
  <c r="G1469" i="37"/>
  <c r="F85" i="1"/>
  <c r="F84" i="27"/>
  <c r="F18" i="27"/>
  <c r="F151" i="27"/>
  <c r="F160" i="1"/>
  <c r="D1287" i="37"/>
  <c r="K47" i="42"/>
  <c r="I1450" i="37"/>
  <c r="I1454" i="37"/>
  <c r="I1460" i="37"/>
  <c r="E531" i="1"/>
  <c r="F116" i="1"/>
  <c r="F204" i="1"/>
  <c r="F647" i="1"/>
  <c r="F134" i="1"/>
  <c r="C1317" i="37"/>
  <c r="F42" i="36"/>
  <c r="C213" i="37"/>
  <c r="H213" i="37" s="1"/>
  <c r="F223" i="1"/>
  <c r="E163" i="3"/>
  <c r="B163" i="3" s="1"/>
  <c r="H1104" i="37"/>
  <c r="I1448" i="37"/>
  <c r="I1451" i="37"/>
  <c r="I1455" i="37"/>
  <c r="I1461" i="37"/>
  <c r="I1464" i="37"/>
  <c r="E24" i="3"/>
  <c r="B24" i="3" s="1"/>
  <c r="G1049" i="37"/>
  <c r="H635" i="37"/>
  <c r="C137" i="37"/>
  <c r="F147" i="1"/>
  <c r="C1371" i="37"/>
  <c r="F96" i="36"/>
  <c r="E5" i="3"/>
  <c r="B5" i="3" s="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K46" i="42" l="1"/>
  <c r="H150" i="37"/>
  <c r="G291" i="3"/>
  <c r="E291" i="3" s="1"/>
  <c r="B291" i="3" s="1"/>
  <c r="K57" i="42"/>
  <c r="H1317" i="37"/>
  <c r="G1317" i="37"/>
  <c r="H1287" i="37"/>
  <c r="G1287" i="37"/>
  <c r="G295" i="3"/>
  <c r="E295" i="3" s="1"/>
  <c r="B295" i="3" s="1"/>
  <c r="G1116" i="37"/>
  <c r="G1371" i="37"/>
  <c r="H1371" i="37"/>
  <c r="G137" i="37"/>
  <c r="H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K29" i="37" l="1"/>
  <c r="L28" i="37"/>
  <c r="G8" i="3" s="1"/>
  <c r="E8" i="3" s="1"/>
  <c r="B8" i="3" s="1"/>
  <c r="L2" i="37"/>
  <c r="K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<sst xmlns="http://schemas.openxmlformats.org/spreadsheetml/2006/main" count="4758" uniqueCount="4301">
  <si>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</si>
  <si>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</si>
  <si>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</si>
  <si>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</si>
  <si>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</si>
  <si>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</si>
  <si>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</si>
  <si>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</si>
  <si>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</si>
  <si>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</si>
  <si>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</si>
  <si>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</si>
  <si>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</si>
  <si>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</si>
  <si>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</si>
  <si>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</si>
  <si>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</si>
  <si>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</si>
  <si>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</si>
  <si>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</si>
  <si>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</si>
  <si>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</si>
  <si>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</si>
  <si>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</si>
  <si>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</si>
  <si>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</si>
  <si>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</si>
  <si>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</si>
  <si>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</si>
  <si>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</si>
  <si>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</si>
  <si>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</si>
  <si>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</si>
  <si>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</si>
  <si>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</si>
  <si>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</si>
  <si>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</si>
  <si>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</si>
  <si>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</si>
  <si>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</si>
  <si>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</si>
  <si>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</si>
  <si>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</si>
  <si>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</si>
  <si>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</si>
  <si>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</si>
  <si>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</si>
  <si>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</si>
  <si>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</si>
  <si>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</si>
  <si>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</si>
  <si>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</si>
  <si>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</si>
  <si>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</si>
  <si>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</si>
  <si>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</si>
  <si>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</si>
  <si>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</si>
  <si>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</si>
  <si>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</si>
  <si>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</si>
  <si>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</si>
  <si>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</si>
  <si>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</si>
  <si>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</si>
  <si>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</si>
  <si>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</si>
  <si>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</si>
  <si>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</si>
  <si>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</si>
  <si>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</si>
  <si>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</si>
  <si>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</si>
  <si>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</si>
  <si>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</si>
  <si>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</si>
  <si>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</si>
  <si>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</si>
  <si>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</si>
  <si>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</si>
  <si>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</si>
  <si>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</si>
  <si>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</si>
  <si>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</si>
  <si>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</si>
  <si>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</si>
  <si>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</si>
  <si>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</si>
  <si>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</si>
  <si>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</si>
  <si>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</si>
  <si>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</si>
  <si>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</si>
  <si>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</si>
  <si>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</si>
  <si>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</si>
  <si>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</si>
  <si>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</si>
  <si>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</si>
  <si>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</si>
  <si>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</si>
  <si>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</si>
  <si>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</si>
  <si>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</si>
  <si>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</si>
  <si>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</si>
  <si>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</si>
  <si>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</si>
  <si>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</si>
  <si>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</si>
  <si>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</si>
  <si>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</si>
  <si>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</si>
  <si>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</si>
  <si>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</si>
  <si>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</si>
  <si>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</si>
  <si>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</si>
  <si>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</si>
  <si>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</si>
  <si>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</si>
  <si>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</si>
  <si>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</si>
  <si>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</si>
  <si>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</si>
  <si>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</si>
  <si>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</si>
  <si>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</si>
  <si>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</si>
  <si>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</si>
  <si>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</si>
  <si>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</si>
  <si>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</si>
  <si>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</si>
  <si>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</si>
  <si>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</si>
  <si>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</si>
  <si>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</si>
  <si>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</si>
  <si>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</si>
  <si>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</si>
  <si>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</si>
  <si>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</si>
  <si>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</si>
  <si>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</si>
  <si>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</si>
  <si>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</si>
  <si>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</si>
  <si>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</si>
  <si>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</si>
  <si>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</si>
  <si>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</si>
  <si>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</si>
  <si>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</si>
  <si>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</si>
  <si>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</si>
  <si>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</si>
  <si>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</si>
  <si>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</si>
  <si>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</si>
  <si>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</si>
  <si>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</si>
  <si>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</si>
  <si>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</si>
  <si>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</si>
  <si>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</si>
  <si>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</si>
  <si>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</si>
  <si>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</si>
  <si>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</si>
  <si>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</si>
  <si>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</si>
  <si>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</si>
  <si>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</si>
  <si>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</si>
  <si>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</si>
  <si>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</si>
  <si>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</si>
  <si>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</si>
  <si>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</si>
  <si>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</si>
  <si>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</si>
  <si>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</si>
  <si>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</si>
  <si>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</si>
  <si>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</si>
  <si>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</si>
  <si>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</si>
  <si>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</si>
  <si>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</si>
  <si>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</si>
  <si>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</si>
  <si>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</si>
  <si>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</si>
  <si>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</si>
  <si>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</si>
  <si>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</si>
  <si>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</si>
  <si>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</si>
  <si>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</si>
  <si>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</si>
  <si>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</si>
  <si>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</si>
  <si>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</si>
  <si>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</si>
  <si>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</si>
  <si>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</si>
  <si>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</si>
  <si>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</si>
  <si>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</si>
  <si>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</si>
  <si>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</si>
  <si>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</si>
  <si>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</si>
  <si>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</si>
  <si>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</si>
  <si>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</si>
  <si>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</si>
  <si>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</si>
  <si>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</si>
  <si>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</si>
  <si>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</si>
  <si>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</si>
  <si>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</si>
  <si>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</si>
  <si>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</si>
  <si>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</si>
  <si>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</si>
  <si>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</si>
  <si>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</si>
  <si>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</si>
  <si>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</si>
  <si>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</si>
  <si>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</si>
  <si>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</si>
  <si>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</si>
  <si>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</si>
  <si>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</si>
  <si>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</si>
  <si>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</si>
  <si>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</si>
  <si>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</si>
  <si>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</si>
  <si>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</si>
  <si>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</si>
  <si>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</si>
  <si>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</si>
  <si>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</si>
  <si>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</si>
  <si>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</si>
  <si>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</si>
  <si>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</si>
  <si>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</si>
  <si>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</si>
  <si>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</si>
  <si>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</si>
  <si>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</si>
  <si>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</si>
  <si>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</si>
  <si>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</si>
  <si>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</si>
  <si>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</si>
  <si>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</si>
  <si>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</si>
  <si>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</si>
  <si>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</si>
  <si>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</si>
  <si>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</si>
  <si>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</si>
  <si>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</si>
  <si>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</si>
  <si>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</si>
  <si>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</si>
  <si>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</si>
  <si>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</si>
  <si>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</si>
  <si>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</si>
  <si>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</si>
  <si>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</si>
  <si>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</si>
  <si>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</si>
  <si>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</si>
  <si>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</si>
  <si>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</si>
  <si>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</si>
  <si>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</si>
  <si>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</si>
  <si>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</si>
  <si>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</si>
  <si>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</si>
  <si>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</si>
  <si>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</si>
  <si>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</si>
  <si>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</si>
  <si>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</si>
  <si>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</si>
  <si>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</si>
  <si>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</si>
  <si>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</si>
  <si>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</si>
  <si>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</si>
  <si>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</si>
  <si>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</si>
  <si>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</si>
  <si>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</si>
  <si>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</si>
  <si>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</si>
  <si>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</si>
  <si>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</si>
  <si>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</si>
  <si>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</si>
  <si>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</si>
  <si>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</si>
  <si>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</si>
  <si>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</si>
  <si>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</si>
  <si>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</si>
  <si>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</si>
  <si>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</si>
  <si>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</si>
  <si>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</si>
  <si>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</si>
  <si>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</si>
  <si>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</si>
  <si>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</si>
  <si>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</si>
  <si>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</si>
  <si>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</si>
  <si>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</si>
  <si>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</si>
  <si>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</si>
  <si>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</si>
  <si>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</si>
  <si>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</si>
  <si>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</si>
  <si>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</si>
  <si>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</si>
  <si>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</si>
  <si>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</si>
  <si>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</si>
  <si>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</si>
  <si>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</si>
  <si>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</si>
  <si>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</si>
  <si>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</si>
  <si>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</si>
  <si>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</si>
  <si>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</si>
  <si>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</si>
  <si>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</si>
  <si>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</si>
  <si>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</si>
  <si>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</si>
  <si>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</si>
  <si>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</si>
  <si>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</si>
  <si>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</si>
  <si>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</si>
  <si>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</si>
  <si>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</si>
  <si>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</si>
  <si>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</si>
  <si>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</si>
  <si>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</si>
  <si>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</si>
  <si>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</si>
  <si>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</si>
  <si>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</si>
  <si>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</si>
  <si>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</si>
  <si>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</si>
  <si>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</si>
  <si>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</si>
  <si>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</si>
  <si>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</si>
  <si>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</si>
  <si>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</si>
  <si>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</si>
  <si>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</si>
  <si>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</si>
  <si>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</si>
  <si>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</si>
  <si>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</si>
  <si>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</si>
  <si>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</si>
  <si>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</si>
  <si>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</si>
  <si>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</si>
  <si>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</si>
  <si>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</si>
  <si>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</si>
  <si>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</si>
  <si>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</si>
  <si>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</si>
  <si>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</si>
  <si>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</si>
  <si>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</si>
  <si>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</si>
  <si>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</si>
  <si>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</si>
  <si>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</si>
  <si>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</si>
  <si>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</si>
  <si>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</si>
  <si>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</si>
  <si>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</si>
  <si>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</si>
  <si>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</si>
  <si>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</si>
  <si>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</si>
  <si>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</si>
  <si>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</si>
  <si>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</si>
  <si>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</si>
  <si>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</si>
  <si>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</si>
  <si>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</si>
  <si>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</si>
  <si>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</si>
  <si>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</si>
  <si>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</si>
  <si>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</si>
  <si>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</si>
  <si>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</si>
  <si>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</si>
  <si>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</si>
  <si>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</si>
  <si>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</si>
  <si>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</si>
  <si>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</si>
  <si>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</si>
  <si>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</si>
  <si>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</si>
  <si>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</si>
  <si>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</si>
  <si>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</si>
  <si>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</si>
  <si>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</si>
  <si>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</si>
  <si>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</si>
  <si>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</si>
  <si>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</si>
  <si>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</si>
  <si>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</si>
  <si>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</si>
  <si>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</si>
  <si>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</si>
  <si>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</si>
  <si>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</si>
  <si>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</si>
  <si>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</si>
  <si>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</si>
  <si>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</si>
  <si>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</si>
  <si>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</si>
  <si>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</si>
  <si>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</si>
  <si>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</si>
  <si>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</si>
  <si>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</si>
  <si>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</si>
  <si>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</si>
  <si>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</si>
  <si>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</si>
  <si>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</si>
  <si>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</si>
  <si>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</si>
  <si>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</si>
  <si>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</si>
  <si>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</si>
  <si>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</si>
  <si>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</si>
  <si>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</si>
  <si>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</si>
  <si>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</si>
  <si>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</si>
  <si>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</si>
  <si>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</si>
  <si>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</si>
  <si>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</si>
  <si>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</si>
  <si>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</si>
  <si>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</si>
  <si>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</si>
  <si>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</si>
  <si>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</si>
  <si>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</si>
  <si>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</si>
  <si>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</si>
  <si>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</si>
  <si>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</si>
  <si>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</si>
  <si>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</si>
  <si>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</si>
  <si>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</si>
  <si>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</si>
  <si>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</si>
  <si>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</si>
  <si>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</si>
  <si>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</si>
  <si>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</si>
  <si>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</si>
  <si>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</si>
  <si>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</si>
  <si>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</si>
  <si>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</si>
  <si>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</si>
  <si>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</si>
  <si>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</si>
  <si>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</si>
  <si>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</si>
  <si>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</si>
  <si>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</si>
  <si>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</si>
  <si>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</si>
  <si>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</si>
  <si>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</si>
  <si>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</si>
  <si>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</si>
  <si>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</si>
  <si>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</si>
  <si>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</si>
  <si>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</si>
  <si>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</si>
  <si>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</si>
  <si>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</si>
  <si>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</si>
  <si>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</si>
  <si>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</si>
  <si>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</si>
  <si>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</si>
  <si>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</si>
  <si>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</si>
  <si>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</si>
  <si>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</si>
  <si>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</si>
  <si>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</si>
  <si>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</si>
  <si>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</si>
  <si>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</si>
  <si>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</si>
  <si>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</si>
  <si>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</si>
  <si>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</si>
  <si>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</si>
  <si>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</si>
  <si>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</si>
  <si>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</si>
  <si>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</si>
  <si>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</si>
  <si>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</si>
  <si>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</si>
  <si>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</si>
  <si>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</si>
  <si>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</si>
  <si>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</si>
  <si>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</si>
  <si>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</si>
  <si>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</si>
  <si>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</si>
  <si>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</si>
  <si>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</si>
  <si>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</si>
  <si>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</si>
  <si>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</si>
  <si>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</si>
  <si>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</si>
  <si>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</si>
  <si>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</si>
  <si>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</si>
  <si>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</si>
  <si>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</si>
  <si>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</si>
  <si>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</si>
  <si>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</si>
  <si>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</si>
  <si>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</si>
  <si>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</si>
  <si>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</si>
  <si>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</si>
  <si>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</si>
  <si>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</si>
  <si>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</si>
  <si>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</si>
  <si>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</si>
  <si>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</si>
  <si>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</si>
  <si>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</si>
  <si>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</si>
  <si>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</si>
  <si>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</si>
  <si>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</si>
  <si>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</si>
  <si>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</si>
  <si>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</si>
  <si>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</si>
  <si>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</si>
  <si>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</si>
  <si>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</si>
  <si>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</si>
  <si>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</si>
  <si>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</si>
  <si>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</si>
  <si>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</si>
  <si>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</si>
  <si>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</si>
  <si>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</si>
  <si>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</si>
  <si>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</si>
  <si>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</si>
  <si>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</si>
  <si>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</si>
  <si>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</si>
  <si>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</si>
  <si>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</si>
  <si>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</si>
  <si>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</si>
  <si>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</si>
  <si>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</si>
  <si>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</si>
  <si>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</si>
  <si>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</si>
  <si>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</si>
  <si>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</si>
  <si>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</si>
  <si>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</si>
  <si>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</si>
  <si>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</si>
  <si>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</si>
  <si>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</si>
  <si>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</si>
  <si>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</si>
  <si>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</si>
  <si>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</si>
  <si>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</si>
  <si>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</si>
  <si>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</si>
  <si>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</si>
  <si>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</si>
  <si>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</si>
  <si>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</si>
  <si>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</si>
  <si>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</si>
  <si>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</si>
  <si>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</si>
  <si>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</si>
  <si>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</si>
  <si>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</si>
  <si>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</si>
  <si>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</si>
  <si>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</si>
  <si>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</si>
  <si>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</si>
  <si>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</si>
  <si>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</si>
  <si>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</si>
  <si>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</si>
  <si>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</si>
  <si>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</si>
  <si>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</si>
  <si>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</si>
  <si>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</si>
  <si>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</si>
  <si>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</si>
  <si>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</si>
  <si>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</si>
  <si>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</si>
  <si>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</si>
  <si>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</si>
  <si>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</si>
  <si>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</si>
  <si>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</si>
  <si>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</si>
  <si>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</si>
  <si>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</si>
  <si>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</si>
  <si>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</si>
  <si>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</si>
  <si>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</si>
  <si>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</si>
  <si>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</si>
  <si>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</si>
  <si>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</si>
  <si>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</si>
  <si>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</si>
  <si>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</si>
  <si>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</si>
  <si>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</si>
  <si>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</si>
  <si>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</si>
  <si>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</si>
  <si>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</si>
  <si>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</si>
  <si>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</si>
  <si>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</si>
  <si>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</si>
  <si>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</si>
  <si>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</si>
  <si>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</si>
  <si>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</si>
  <si>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</si>
  <si>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</si>
  <si>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</si>
  <si>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</si>
  <si>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</si>
  <si>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</si>
  <si>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</si>
  <si>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</si>
  <si>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</si>
  <si>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</si>
  <si>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</si>
  <si>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</si>
  <si>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</si>
  <si>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</si>
  <si>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</si>
  <si>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</si>
  <si>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</si>
  <si>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</si>
  <si>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</si>
  <si>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</si>
  <si>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</si>
  <si>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</si>
  <si>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</si>
  <si>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</si>
  <si>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</si>
  <si>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</si>
  <si>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</si>
  <si>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</si>
  <si>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</si>
  <si>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</si>
  <si>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</si>
  <si>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</si>
  <si>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</si>
  <si>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</si>
  <si>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</si>
  <si>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</si>
  <si>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</si>
  <si>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</si>
  <si>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</si>
  <si>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</si>
  <si>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</si>
  <si>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</si>
  <si>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</si>
  <si>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</si>
  <si>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</si>
  <si>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</si>
  <si>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</si>
  <si>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</si>
  <si>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</si>
  <si>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</si>
  <si>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</si>
  <si>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</si>
  <si>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</si>
  <si>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</si>
  <si>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</si>
  <si>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</si>
  <si>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</si>
  <si>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</si>
  <si>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</si>
  <si>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</si>
  <si>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</si>
  <si>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</si>
  <si>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</si>
  <si>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</si>
  <si>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</si>
  <si>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</si>
  <si>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</si>
  <si>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</si>
  <si>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</si>
  <si>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</si>
  <si>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</si>
  <si>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</si>
  <si>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</si>
  <si>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</si>
  <si>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</si>
  <si>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</si>
  <si>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</si>
  <si>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</si>
  <si>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</si>
  <si>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</si>
  <si>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</si>
  <si>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</si>
  <si>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</si>
  <si>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</si>
  <si>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</si>
  <si>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</si>
  <si>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</si>
  <si>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</si>
  <si>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</si>
  <si>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</si>
  <si>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</si>
  <si>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</si>
  <si>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</si>
  <si>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</si>
  <si>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</si>
  <si>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</si>
  <si>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</si>
  <si>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</si>
  <si>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</si>
  <si>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</si>
  <si>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</si>
  <si>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</si>
  <si>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</si>
  <si>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</si>
  <si>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</si>
  <si>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</si>
  <si>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</si>
  <si>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</si>
  <si>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</si>
  <si>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</si>
  <si>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</si>
  <si>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</si>
  <si>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</si>
  <si>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</si>
  <si>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</si>
  <si>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</si>
  <si>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</si>
  <si>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</si>
  <si>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</si>
  <si>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</si>
  <si>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</si>
  <si>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</si>
  <si>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</si>
  <si>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</si>
  <si>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</si>
  <si>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</si>
  <si>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</si>
  <si>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</si>
  <si>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</si>
  <si>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</si>
  <si>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</si>
  <si>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</si>
  <si>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</si>
  <si>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</si>
  <si>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</si>
  <si>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</si>
  <si>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</si>
  <si>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</si>
  <si>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</si>
  <si>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</si>
  <si>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</si>
  <si>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</si>
  <si>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</si>
  <si>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</si>
  <si>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</si>
  <si>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</si>
  <si>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</si>
  <si>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</si>
  <si>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</si>
  <si>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</si>
  <si>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</si>
  <si>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</si>
  <si>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</si>
  <si>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</si>
  <si>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</si>
  <si>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</si>
  <si>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</si>
  <si>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</si>
  <si>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</si>
  <si>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</si>
  <si>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</si>
  <si>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</si>
  <si>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</si>
  <si>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</si>
  <si>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</si>
  <si>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</si>
  <si>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</si>
  <si>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</si>
  <si>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</si>
  <si>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</si>
  <si>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</si>
  <si>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</si>
  <si>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</si>
  <si>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</si>
  <si>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</si>
  <si>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</si>
  <si>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</si>
  <si>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</si>
  <si>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</si>
  <si>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</si>
  <si>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</si>
  <si>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</si>
  <si>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</si>
  <si>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</si>
  <si>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</si>
  <si>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</si>
  <si>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</si>
  <si>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</si>
  <si>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</si>
  <si>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</si>
  <si>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</si>
  <si>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</si>
  <si>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</si>
  <si>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</si>
  <si>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</si>
  <si>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</si>
  <si>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</si>
  <si>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</si>
  <si>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</si>
  <si>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</si>
  <si>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</si>
  <si>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</si>
  <si>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</si>
  <si>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</si>
  <si>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</si>
  <si>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</si>
  <si>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</si>
  <si>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</si>
  <si>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</si>
  <si>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</si>
  <si>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</si>
  <si>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</si>
  <si>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</si>
  <si>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</si>
  <si>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</si>
  <si>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</si>
  <si>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</si>
  <si>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</si>
  <si>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</si>
  <si>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</si>
  <si>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</si>
  <si>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</si>
  <si>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</si>
  <si>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</si>
  <si>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</si>
  <si>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</si>
  <si>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</si>
  <si>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</si>
  <si>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</si>
  <si>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</si>
  <si>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</si>
  <si>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</si>
  <si>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</si>
  <si>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</si>
  <si>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</si>
  <si>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</si>
  <si>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</si>
  <si>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</si>
  <si>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</si>
  <si>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</si>
  <si>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</si>
  <si>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</si>
  <si>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</si>
  <si>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</si>
  <si>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</si>
  <si>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</si>
  <si>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</si>
  <si>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</si>
  <si>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</si>
  <si>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</si>
  <si>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</si>
  <si>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</si>
  <si>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</si>
  <si>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</si>
  <si>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</si>
  <si>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</si>
  <si>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</si>
  <si>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</si>
  <si>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</si>
  <si>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</si>
  <si>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</si>
  <si>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</si>
  <si>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</si>
  <si>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</si>
  <si>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</si>
  <si>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</si>
  <si>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</si>
  <si>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</si>
  <si>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</si>
  <si>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</si>
  <si>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</si>
  <si>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</si>
  <si>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</si>
  <si>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</si>
  <si>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</si>
  <si>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</si>
  <si>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</si>
  <si>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</si>
  <si>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</si>
  <si>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</si>
  <si>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</si>
  <si>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</si>
  <si>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</si>
  <si>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</si>
  <si>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</si>
  <si>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</si>
  <si>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</si>
  <si>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</si>
  <si>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</si>
  <si>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</si>
  <si>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</si>
  <si>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</si>
  <si>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</si>
  <si>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</si>
  <si>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</si>
  <si>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</si>
  <si>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</si>
  <si>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</si>
  <si>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</si>
  <si>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</si>
  <si>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</si>
  <si>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</si>
  <si>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</si>
  <si>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</si>
  <si>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</si>
  <si>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</si>
  <si>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</si>
  <si>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</si>
  <si>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</si>
  <si>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</si>
  <si>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</si>
  <si>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</si>
  <si>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</si>
  <si>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</si>
  <si>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</si>
  <si>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</si>
  <si>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</si>
  <si>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</si>
  <si>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</si>
  <si>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</si>
  <si>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</si>
  <si>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</si>
  <si>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</si>
  <si>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</si>
  <si>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</si>
  <si>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</si>
  <si>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</si>
  <si>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</si>
  <si>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</si>
  <si>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</si>
  <si>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</si>
  <si>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</si>
  <si>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</si>
  <si>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</si>
  <si>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</si>
  <si>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</si>
  <si>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</si>
  <si>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</si>
  <si>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</si>
  <si>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</si>
  <si>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</si>
  <si>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</si>
  <si>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</si>
  <si>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</si>
  <si>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</si>
  <si>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</si>
  <si>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</si>
  <si>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</si>
  <si>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</si>
  <si>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</si>
  <si>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</si>
  <si>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</si>
  <si>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</si>
  <si>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</si>
  <si>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</si>
  <si>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</si>
  <si>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</si>
  <si>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</si>
  <si>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</si>
  <si>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</si>
  <si>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</si>
  <si>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</si>
  <si>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</si>
  <si>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</si>
  <si>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</si>
  <si>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</si>
  <si>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</si>
  <si>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</si>
  <si>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</si>
  <si>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</si>
  <si>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</si>
  <si>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</si>
  <si>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</si>
  <si>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</si>
  <si>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</si>
  <si>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</si>
  <si>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</si>
  <si>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</si>
  <si>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</si>
  <si>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</si>
  <si>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</si>
  <si>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</si>
  <si>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</si>
  <si>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</si>
  <si>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</si>
  <si>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</si>
  <si>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</si>
  <si>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</si>
  <si>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</si>
  <si>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</si>
  <si>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</si>
  <si>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</si>
  <si>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</si>
  <si>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</si>
  <si>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</si>
  <si>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</si>
  <si>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</si>
  <si>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</si>
  <si>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</si>
  <si>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</si>
  <si>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</si>
  <si>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</si>
  <si>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</si>
  <si>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</si>
  <si>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</si>
  <si>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</si>
  <si>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</si>
  <si>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</si>
  <si>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</si>
  <si>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</si>
  <si>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</si>
  <si>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</si>
  <si>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</si>
  <si>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</si>
  <si>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</si>
  <si>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</si>
  <si>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</si>
  <si>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</si>
  <si>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</si>
  <si>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</si>
  <si>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</si>
  <si>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</si>
  <si>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</si>
  <si>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</si>
  <si>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</si>
  <si>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</si>
  <si>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</si>
  <si>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</si>
  <si>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</si>
  <si>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</si>
  <si>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</si>
  <si>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</si>
  <si>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</si>
  <si>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</si>
  <si>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</si>
  <si>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</si>
  <si>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</si>
  <si>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</si>
  <si>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</si>
  <si>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</si>
  <si>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</si>
  <si>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</si>
  <si>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</si>
  <si>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</si>
  <si>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</si>
  <si>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</si>
  <si>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</si>
  <si>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</si>
  <si>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</si>
  <si>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</si>
  <si>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</si>
  <si>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</si>
  <si>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</si>
  <si>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</si>
  <si>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</si>
  <si>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</si>
  <si>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</si>
  <si>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</si>
  <si>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</si>
  <si>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</si>
  <si>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</si>
  <si>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</si>
  <si>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</si>
  <si>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</si>
  <si>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</si>
  <si>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</si>
  <si>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</si>
  <si>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</si>
  <si>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</si>
  <si>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</si>
  <si>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</si>
  <si>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</si>
  <si>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</si>
  <si>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</si>
  <si>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</si>
  <si>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</si>
  <si>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</si>
  <si>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</si>
  <si>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</si>
  <si>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</si>
  <si>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</si>
  <si>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</si>
  <si>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</si>
  <si>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</si>
  <si>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</si>
  <si>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</si>
  <si>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</si>
  <si>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</si>
  <si>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</si>
  <si>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</si>
  <si>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</si>
  <si>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</si>
  <si>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</si>
  <si>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</si>
  <si>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</si>
  <si>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</si>
  <si>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</si>
  <si>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</si>
  <si>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</si>
  <si>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</si>
  <si>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</si>
  <si>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</si>
  <si>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</si>
  <si>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</si>
  <si>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</si>
  <si>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</si>
  <si>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</si>
  <si>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</si>
  <si>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</si>
  <si>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</si>
  <si>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</si>
  <si>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</si>
  <si>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</si>
  <si>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</si>
  <si>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</si>
  <si>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</si>
  <si>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</si>
  <si>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</si>
  <si>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</si>
  <si>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</si>
  <si>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</si>
  <si>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</si>
  <si>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</si>
  <si>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</si>
  <si>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</si>
  <si>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</si>
  <si>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</si>
  <si>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</si>
  <si>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</si>
  <si>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</si>
  <si>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</si>
  <si>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</si>
  <si>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</si>
  <si>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</si>
  <si>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</si>
  <si>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</si>
  <si>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</si>
  <si>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</si>
  <si>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</si>
  <si>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</si>
  <si>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</si>
  <si>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</si>
  <si>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</si>
  <si>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</si>
  <si>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</si>
  <si>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</si>
  <si>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</si>
  <si>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</si>
  <si>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</si>
  <si>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</si>
  <si>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</si>
  <si>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</si>
  <si>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</si>
  <si>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</si>
  <si>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</si>
  <si>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</si>
  <si>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</si>
  <si>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</si>
  <si>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</si>
  <si>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</si>
  <si>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</si>
  <si>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</si>
  <si>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</si>
  <si>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</si>
  <si>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</si>
  <si>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</si>
  <si>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</si>
  <si>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</si>
  <si>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</si>
  <si>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</si>
  <si>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</si>
  <si>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</si>
  <si>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</si>
  <si>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</si>
  <si>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</si>
  <si>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</si>
  <si>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</si>
  <si>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</si>
  <si>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</si>
  <si>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</si>
  <si>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</si>
  <si>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</si>
  <si>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</si>
  <si>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</si>
  <si>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</si>
  <si>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</si>
  <si>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</si>
  <si>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</si>
  <si>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</si>
  <si>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</si>
  <si>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</si>
  <si>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</si>
  <si>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</si>
  <si>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</si>
  <si>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</si>
  <si>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</si>
  <si>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</si>
  <si>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</si>
  <si>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</si>
  <si>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</si>
  <si>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</si>
  <si>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</si>
  <si>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</si>
  <si>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</si>
  <si>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</si>
  <si>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</si>
  <si>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</si>
  <si>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</si>
  <si>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</si>
  <si>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</si>
  <si>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</si>
  <si>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</si>
  <si>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</si>
  <si>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</si>
  <si>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</si>
  <si>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</si>
  <si>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</si>
  <si>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</si>
  <si>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</si>
  <si>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</si>
  <si>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</si>
  <si>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</si>
  <si>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</si>
  <si>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</si>
  <si>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</si>
  <si>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</si>
  <si>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</si>
  <si>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</si>
  <si>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</si>
  <si>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</si>
  <si>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</si>
  <si>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</si>
  <si>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</si>
  <si>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</si>
  <si>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</si>
  <si>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</si>
  <si>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</si>
  <si>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</si>
  <si>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</si>
  <si>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</si>
  <si>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</si>
  <si>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</si>
  <si>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</si>
  <si>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</si>
  <si>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</si>
  <si>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</si>
  <si>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</si>
  <si>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</si>
  <si>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</si>
  <si>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</si>
  <si>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</si>
  <si>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</si>
  <si>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</si>
  <si>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</si>
  <si>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</si>
  <si>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</si>
  <si>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</si>
  <si>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</si>
  <si>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</si>
  <si>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</si>
  <si>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</si>
  <si>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</si>
  <si>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</si>
  <si>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</si>
  <si>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</si>
  <si>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</si>
  <si>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</si>
  <si>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</si>
  <si>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</si>
  <si>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</si>
  <si>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</si>
  <si>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</si>
  <si>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</si>
  <si>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</si>
  <si>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</si>
  <si>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</si>
  <si>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</si>
  <si>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</si>
  <si>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</si>
  <si>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</si>
  <si>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</si>
  <si>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</si>
  <si>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</si>
  <si>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</si>
  <si>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</si>
  <si>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</si>
  <si>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</si>
  <si>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</si>
  <si>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</si>
  <si>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</si>
  <si>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</si>
  <si>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</si>
  <si>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</si>
  <si>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</si>
  <si>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</si>
  <si>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</si>
  <si>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</si>
  <si>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</si>
  <si>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</si>
  <si>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</si>
  <si>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</si>
  <si>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</si>
  <si>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</si>
  <si>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</si>
  <si>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</si>
  <si>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</si>
  <si>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</si>
  <si>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</si>
  <si>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</si>
  <si>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</si>
  <si>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</si>
  <si>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</si>
  <si>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</si>
  <si>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</si>
  <si>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</si>
  <si>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</si>
  <si>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</si>
  <si>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</si>
  <si>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</si>
  <si>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</si>
  <si>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</si>
  <si>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</si>
  <si>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</si>
  <si>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</si>
  <si>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</si>
  <si>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</si>
  <si>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</si>
  <si>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</si>
  <si>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</si>
  <si>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</si>
  <si>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</si>
  <si>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</si>
  <si>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</si>
  <si>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</si>
  <si>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</si>
  <si>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</si>
  <si>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</si>
  <si>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</si>
  <si>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</si>
  <si>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</si>
  <si>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</si>
  <si>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</si>
  <si>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</si>
  <si>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</si>
  <si>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</si>
  <si>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</si>
  <si>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</si>
  <si>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</si>
  <si>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</si>
  <si>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</si>
  <si>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</si>
  <si>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</si>
  <si>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</si>
  <si>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</si>
  <si>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</si>
  <si>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</si>
  <si>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</si>
  <si>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</si>
  <si>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</si>
  <si>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</si>
  <si>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</si>
  <si>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</si>
  <si>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</si>
  <si>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</si>
  <si>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</si>
  <si>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</si>
  <si>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</si>
  <si>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</si>
  <si>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</si>
  <si>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</si>
  <si>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</si>
  <si>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</si>
  <si>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</si>
  <si>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</si>
  <si>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</si>
  <si>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</si>
  <si>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</si>
  <si>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</si>
  <si>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</si>
  <si>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</si>
  <si>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</si>
  <si>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</si>
  <si>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</si>
  <si>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</si>
  <si>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</si>
  <si>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</si>
  <si>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</si>
  <si>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</si>
  <si>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</si>
  <si>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</si>
  <si>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</si>
  <si>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</si>
  <si>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</si>
  <si>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</si>
  <si>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</si>
  <si>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</si>
  <si>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</si>
  <si>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</si>
  <si>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</si>
  <si>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</si>
  <si>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</si>
  <si>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</si>
  <si>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</si>
  <si>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</si>
  <si>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</si>
  <si>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</si>
  <si>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</si>
  <si>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</si>
  <si>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</si>
  <si>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</si>
  <si>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</si>
  <si>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</si>
  <si>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</si>
  <si>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</si>
  <si>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</si>
  <si>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</si>
  <si>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</si>
  <si>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</si>
  <si>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</si>
  <si>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</si>
  <si>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</si>
  <si>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</si>
  <si>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</si>
  <si>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</si>
  <si>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</si>
  <si>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</si>
  <si>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</si>
  <si>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</si>
  <si>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</si>
  <si>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</si>
  <si>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</si>
  <si>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</si>
  <si>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</si>
  <si>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</si>
  <si>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</si>
  <si>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</si>
  <si>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</si>
  <si>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</si>
  <si>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</si>
  <si>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</si>
  <si>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</si>
  <si>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</si>
  <si>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</si>
  <si>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</si>
  <si>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</si>
  <si>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</si>
  <si>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</si>
  <si>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</si>
  <si>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</si>
  <si>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</si>
  <si>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</si>
  <si>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</si>
  <si>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</si>
  <si>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</si>
  <si>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</si>
  <si>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</si>
  <si>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</si>
  <si>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</si>
  <si>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</si>
  <si>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</si>
  <si>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</si>
  <si>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</si>
  <si>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</si>
  <si>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</si>
  <si>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</si>
  <si>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</si>
  <si>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</si>
  <si>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</si>
  <si>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</si>
  <si>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</si>
  <si>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</si>
  <si>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</si>
  <si>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</si>
  <si>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</si>
  <si>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</si>
  <si>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</si>
  <si>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</si>
  <si>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</si>
  <si>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</si>
  <si>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</si>
  <si>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</si>
  <si>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</si>
  <si>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</si>
  <si>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</si>
  <si>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</si>
  <si>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</si>
  <si>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</si>
  <si>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</si>
  <si>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</si>
  <si>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</si>
  <si>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</si>
  <si>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</si>
  <si>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</si>
  <si>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</si>
  <si>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</si>
  <si>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</si>
  <si>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</si>
  <si>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</si>
  <si>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</si>
  <si>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</si>
  <si>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</si>
  <si>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</si>
  <si>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</si>
  <si>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</si>
  <si>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</si>
  <si>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</si>
  <si>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</si>
  <si>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</si>
  <si>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</si>
  <si>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</si>
  <si>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</si>
  <si>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</si>
  <si>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</si>
  <si>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</si>
  <si>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</si>
  <si>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</si>
  <si>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</si>
  <si>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</si>
  <si>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</si>
  <si>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</si>
  <si>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</si>
  <si>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</si>
  <si>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</si>
  <si>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</si>
  <si>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</si>
  <si>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</si>
  <si>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</si>
  <si>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</si>
  <si>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</si>
  <si>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</si>
  <si>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</si>
  <si>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</si>
  <si>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</si>
  <si>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</si>
  <si>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</si>
  <si>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</si>
  <si>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</si>
  <si>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</si>
  <si>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</si>
  <si>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</si>
  <si>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</si>
  <si>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</si>
  <si>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</si>
  <si>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</si>
  <si>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</si>
  <si>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</si>
  <si>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</si>
  <si>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</si>
  <si>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</si>
  <si>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</si>
  <si>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</si>
  <si>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</si>
  <si>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</si>
  <si>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</si>
  <si>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</si>
  <si>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</si>
  <si>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</si>
  <si>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</si>
  <si>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</si>
  <si>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</si>
  <si>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</si>
  <si>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</si>
  <si>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</si>
  <si>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</si>
  <si>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</si>
  <si>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</si>
  <si>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</si>
  <si>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</si>
  <si>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</si>
  <si>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</si>
  <si>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</si>
  <si>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</si>
  <si>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</si>
  <si>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</si>
  <si>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</si>
  <si>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</si>
  <si>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</si>
  <si>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</si>
  <si>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</si>
  <si>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</si>
  <si>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</si>
  <si>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</si>
  <si>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</si>
  <si>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</si>
  <si>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</si>
  <si>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</si>
  <si>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</si>
  <si>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</si>
  <si>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</si>
  <si>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</si>
  <si>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</si>
  <si>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</si>
  <si>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</si>
  <si>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</si>
  <si>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</si>
  <si>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</si>
  <si>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</si>
  <si>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</si>
  <si>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</si>
  <si>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</si>
  <si>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</si>
  <si>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</si>
  <si>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</si>
  <si>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</si>
  <si>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</si>
  <si>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</si>
  <si>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</si>
  <si>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</si>
  <si>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</si>
  <si>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</si>
  <si>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</si>
  <si>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</si>
  <si>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</si>
  <si>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</si>
  <si>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</si>
  <si>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</si>
  <si>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</si>
  <si>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</si>
  <si>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</si>
  <si>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</si>
  <si>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</si>
  <si>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</si>
  <si>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</si>
  <si>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</si>
  <si>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</si>
  <si>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</si>
  <si>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</si>
  <si>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</si>
  <si>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</si>
  <si>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</si>
  <si>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</si>
  <si>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</si>
  <si>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</si>
  <si>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</si>
  <si>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</si>
  <si>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</si>
  <si>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</si>
  <si>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</si>
  <si>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</si>
  <si>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</si>
  <si>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</si>
  <si>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</si>
  <si>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</si>
  <si>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</si>
  <si>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</si>
  <si>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</si>
  <si>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</si>
  <si>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</si>
  <si>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</si>
  <si>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</si>
  <si>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</si>
  <si>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</si>
  <si>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</si>
  <si>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</si>
  <si>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</si>
  <si>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</si>
  <si>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</si>
  <si>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</si>
  <si>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</si>
  <si>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</si>
  <si>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</si>
  <si>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</si>
  <si>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</si>
  <si>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</si>
  <si>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</si>
  <si>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</si>
  <si>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</si>
  <si>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</si>
  <si>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</si>
  <si>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</si>
  <si>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</si>
  <si>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</si>
  <si>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</si>
  <si>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</si>
  <si>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</si>
  <si>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</si>
  <si>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</si>
  <si>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</si>
  <si>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</si>
  <si>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</si>
  <si>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</si>
  <si>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</si>
  <si>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</si>
  <si>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</si>
  <si>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</si>
  <si>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</si>
  <si>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</si>
  <si>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</si>
  <si>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</si>
  <si>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</si>
  <si>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</si>
  <si>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</si>
  <si>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</si>
  <si>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</si>
  <si>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</si>
  <si>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</si>
  <si>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</si>
  <si>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</si>
  <si>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</si>
  <si>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</si>
  <si>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</si>
  <si>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</si>
  <si>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</si>
  <si>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</si>
  <si>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</si>
  <si>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</si>
  <si>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</si>
  <si>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</si>
  <si>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</si>
  <si>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</si>
  <si>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</si>
  <si>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</si>
  <si>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</si>
  <si>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</si>
  <si>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</si>
  <si>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</si>
  <si>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</si>
  <si>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</si>
  <si>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</si>
  <si>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</si>
  <si>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</si>
  <si>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</si>
  <si>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</si>
  <si>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</si>
  <si>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</si>
  <si>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</si>
  <si>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</si>
  <si>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</si>
  <si>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</si>
  <si>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</si>
  <si>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</si>
  <si>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</si>
  <si>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</si>
  <si>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</si>
  <si>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</si>
  <si>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</si>
  <si>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</si>
  <si>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</si>
  <si>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</si>
  <si>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</si>
  <si>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</si>
  <si>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</si>
  <si>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</si>
  <si>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</si>
  <si>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</si>
  <si>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</si>
  <si>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</si>
  <si>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</si>
  <si>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</si>
  <si>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</si>
  <si>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</si>
  <si>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</si>
  <si>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</si>
  <si>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</si>
  <si>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</si>
  <si>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</si>
  <si>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</si>
  <si>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</si>
  <si>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</si>
  <si>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</si>
  <si>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</si>
  <si>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</si>
  <si>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</si>
  <si>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</si>
  <si>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</si>
  <si>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</si>
  <si>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</si>
  <si>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</si>
  <si>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</si>
  <si>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</si>
  <si>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</si>
  <si>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</si>
  <si>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</si>
  <si>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</si>
  <si>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</si>
  <si>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</si>
  <si>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</si>
  <si>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</si>
  <si>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</si>
  <si>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</si>
  <si>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</si>
  <si>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</si>
  <si>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</si>
  <si>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</si>
  <si>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</si>
  <si>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</si>
  <si>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</si>
  <si>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</si>
  <si>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</si>
  <si>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</si>
  <si>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</si>
  <si>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</si>
  <si>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</si>
  <si>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</si>
  <si>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</si>
  <si>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</si>
  <si>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</si>
  <si>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</si>
  <si>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</si>
  <si>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</si>
  <si>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</si>
  <si>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</si>
  <si>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</si>
  <si>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</si>
  <si>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</si>
  <si>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</si>
  <si>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</si>
  <si>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</si>
  <si>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</si>
  <si>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</si>
  <si>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</si>
  <si>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</si>
  <si>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</si>
  <si>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</si>
  <si>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</si>
  <si>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</si>
  <si>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</si>
  <si>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</si>
  <si>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</si>
  <si>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</si>
  <si>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</si>
  <si>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</si>
  <si>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</si>
  <si>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</si>
  <si>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</si>
  <si>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</si>
  <si>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</si>
  <si>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</si>
  <si>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</si>
  <si>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</si>
  <si>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</si>
  <si>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</si>
  <si>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</si>
  <si>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</si>
  <si>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</si>
  <si>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</si>
  <si>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</si>
  <si>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</si>
  <si>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</si>
  <si>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</si>
  <si>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</si>
  <si>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</si>
  <si>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</si>
  <si>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</si>
  <si>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</si>
  <si>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</si>
  <si>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</si>
  <si>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</si>
  <si>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</si>
  <si>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</si>
  <si>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</si>
  <si>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</si>
  <si>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</si>
  <si>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</si>
  <si>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</si>
  <si>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</si>
  <si>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</si>
  <si>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</si>
  <si>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</si>
  <si>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</si>
  <si>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</si>
  <si>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</si>
  <si>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</si>
  <si>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</si>
  <si>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</si>
  <si>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</si>
  <si>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</si>
  <si>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</si>
  <si>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</si>
  <si>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</si>
  <si>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</si>
  <si>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</si>
  <si>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</si>
  <si>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</si>
  <si>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</si>
  <si>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</si>
  <si>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</si>
  <si>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</si>
  <si>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</si>
  <si>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</si>
  <si>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</si>
  <si>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</si>
  <si>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</si>
  <si>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</si>
  <si>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</si>
  <si>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</si>
  <si>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</si>
  <si>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</si>
  <si>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</si>
  <si>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</si>
  <si>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</si>
  <si>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</si>
  <si>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</si>
  <si>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</si>
  <si>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</si>
  <si>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</si>
  <si>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</si>
  <si>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</si>
  <si>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</si>
  <si>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</si>
  <si>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</si>
  <si>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</si>
  <si>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</si>
  <si>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</si>
  <si>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</si>
  <si>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</si>
  <si>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</si>
  <si>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</si>
  <si>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</si>
  <si>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</si>
  <si>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</si>
  <si>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</si>
  <si>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</si>
  <si>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</si>
  <si>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</si>
  <si>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</si>
  <si>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</si>
  <si>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</si>
  <si>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</si>
  <si>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</si>
  <si>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</si>
  <si>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</si>
  <si>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</si>
  <si>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</si>
  <si>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</si>
  <si>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</si>
  <si>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</si>
  <si>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</si>
  <si>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</si>
  <si>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</si>
  <si>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</si>
  <si>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</si>
  <si>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</si>
  <si>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</si>
  <si>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</si>
  <si>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</si>
  <si>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</si>
  <si>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</si>
  <si>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</si>
  <si>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</si>
  <si>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</si>
  <si>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</si>
  <si>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</si>
  <si>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</si>
  <si>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</si>
  <si>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</si>
  <si>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</si>
  <si>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</si>
  <si>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</si>
  <si>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</si>
  <si>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</si>
  <si>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</si>
  <si>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</si>
  <si>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</si>
  <si>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</si>
  <si>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</si>
  <si>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</si>
  <si>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</si>
  <si>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</si>
  <si>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</si>
  <si>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</si>
  <si>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</si>
  <si>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</si>
  <si>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</si>
  <si>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</si>
  <si>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</si>
  <si>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</si>
  <si>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</si>
  <si>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</si>
  <si>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</si>
  <si>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</si>
  <si>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</si>
  <si>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</si>
  <si>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</si>
  <si>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</si>
  <si>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</si>
  <si>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</si>
  <si>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</si>
  <si>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</si>
  <si>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</si>
  <si>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</si>
  <si>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</si>
  <si>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</si>
  <si>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</si>
  <si>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</si>
  <si>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</si>
  <si>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</si>
  <si>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</si>
  <si>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</si>
  <si>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</si>
  <si>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</si>
  <si>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</si>
  <si>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</si>
  <si>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</si>
  <si>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</si>
  <si>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</si>
  <si>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</si>
  <si>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</si>
  <si>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</si>
  <si>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</si>
  <si>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</si>
  <si>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</si>
  <si>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</si>
  <si>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</si>
  <si>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</si>
  <si>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</si>
  <si>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</si>
  <si>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</si>
  <si>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</si>
  <si>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</si>
  <si>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</si>
  <si>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</si>
  <si>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</si>
  <si>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</si>
  <si>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</si>
  <si>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</si>
  <si>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</si>
  <si>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</si>
  <si>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</si>
  <si>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</si>
  <si>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</si>
  <si>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</si>
  <si>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</si>
  <si>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</si>
  <si>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</si>
  <si>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</si>
  <si>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</si>
  <si>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</si>
  <si>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</si>
  <si>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</si>
  <si>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</si>
  <si>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</si>
  <si>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</si>
  <si>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</si>
  <si>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</si>
  <si>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</si>
  <si>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</si>
  <si>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</si>
  <si>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</si>
  <si>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</si>
  <si>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</si>
  <si>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</si>
  <si>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</si>
  <si>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</si>
  <si>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</si>
  <si>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</si>
  <si>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</si>
  <si>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</si>
  <si>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</si>
  <si>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</si>
  <si>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</si>
  <si>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</si>
  <si>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</si>
  <si>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</si>
  <si>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</si>
  <si>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</si>
  <si>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</si>
  <si>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</si>
  <si>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</si>
  <si>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</si>
  <si>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</si>
  <si>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</si>
  <si>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</si>
  <si>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</si>
  <si>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</si>
  <si>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</si>
  <si>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</si>
  <si>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</si>
  <si>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</si>
  <si>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</si>
  <si>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</si>
  <si>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</si>
  <si>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</si>
  <si>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</si>
  <si>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</si>
  <si>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</si>
  <si>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</si>
  <si>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</si>
  <si>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</si>
  <si>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</si>
  <si>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</si>
  <si>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</si>
  <si>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</si>
  <si>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</si>
  <si>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</si>
  <si>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</si>
  <si>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</si>
  <si>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</si>
  <si>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</si>
  <si>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</si>
  <si>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</si>
  <si>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</si>
  <si>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</si>
  <si>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</si>
  <si>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</si>
  <si>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</si>
  <si>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</si>
  <si>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</si>
  <si>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</si>
  <si>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</si>
  <si>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</si>
  <si>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</si>
  <si>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</si>
  <si>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</si>
  <si>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</si>
  <si>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</si>
  <si>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</si>
  <si>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</si>
  <si>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</si>
  <si>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</si>
  <si>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</si>
  <si>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</si>
  <si>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</si>
  <si>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</si>
  <si>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</si>
  <si>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</si>
  <si>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</si>
  <si>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</si>
  <si>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</si>
  <si>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</si>
  <si>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</si>
  <si>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</si>
  <si>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</si>
  <si>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</si>
  <si>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</si>
  <si>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</si>
  <si>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</si>
  <si>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</si>
  <si>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</si>
  <si>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</si>
  <si>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</si>
  <si>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</si>
  <si>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</si>
  <si>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</si>
  <si>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</si>
  <si>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</si>
  <si>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</si>
  <si>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</si>
  <si>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</si>
  <si>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</si>
  <si>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</si>
  <si>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</si>
  <si>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</si>
  <si>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</si>
  <si>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</si>
  <si>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</si>
  <si>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</si>
  <si>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</si>
  <si>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</si>
  <si>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</si>
  <si>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</si>
  <si>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</si>
  <si>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</si>
  <si>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</si>
  <si>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</si>
  <si>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</si>
  <si>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</si>
  <si>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</si>
  <si>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</si>
  <si>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</si>
  <si>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</si>
  <si>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</si>
  <si>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</si>
  <si>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</si>
  <si>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</si>
  <si>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</si>
  <si>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</si>
  <si>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</si>
  <si>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</si>
  <si>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</si>
  <si>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</si>
  <si>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</si>
  <si>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</si>
  <si>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</si>
  <si>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</si>
  <si>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</si>
  <si>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</si>
  <si>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</si>
  <si>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</si>
  <si>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</si>
  <si>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</si>
  <si>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</si>
  <si>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</si>
  <si>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</si>
  <si>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</si>
  <si>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</si>
  <si>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</si>
  <si>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</si>
  <si>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</si>
  <si>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</si>
  <si>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</si>
  <si>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</si>
  <si>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</si>
  <si>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</si>
  <si>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</si>
  <si>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</si>
  <si>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</si>
  <si>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</si>
  <si>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</si>
  <si>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</si>
  <si>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</si>
  <si>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</si>
  <si>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</si>
  <si>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</si>
  <si>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</si>
  <si>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</si>
  <si>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</si>
  <si>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</si>
  <si>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</si>
  <si>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</si>
  <si>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</si>
  <si>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</si>
  <si>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</si>
  <si>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</si>
  <si>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</si>
  <si>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</si>
  <si>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</si>
  <si>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</si>
  <si>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</si>
  <si>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</si>
  <si>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</si>
  <si>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</si>
  <si>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</si>
  <si>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</si>
  <si>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</si>
  <si>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</si>
  <si>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</si>
  <si>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</si>
  <si>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</si>
  <si>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</si>
  <si>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</si>
  <si>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</si>
  <si>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</si>
  <si>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</si>
  <si>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</si>
  <si>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</si>
  <si>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</si>
  <si>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</si>
  <si>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</si>
  <si>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</si>
  <si>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</si>
  <si>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</si>
  <si>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</si>
  <si>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</si>
  <si>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</si>
  <si>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</si>
  <si>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</si>
  <si>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</si>
  <si>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</si>
  <si>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</si>
  <si>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</si>
  <si>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</si>
  <si>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</si>
  <si>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</si>
  <si>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</si>
  <si>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</si>
  <si>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</si>
  <si>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</si>
  <si>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</si>
  <si>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</si>
  <si>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</si>
  <si>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</si>
  <si>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</si>
  <si>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</si>
  <si>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</si>
  <si>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</si>
  <si>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</si>
  <si>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</si>
  <si>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</si>
  <si>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</si>
  <si>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</si>
  <si>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</si>
  <si>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</si>
  <si>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</si>
  <si>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</si>
  <si>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</si>
  <si>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</si>
  <si>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</si>
  <si>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</si>
  <si>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</si>
  <si>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</si>
  <si>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</si>
  <si>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</si>
  <si>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</si>
  <si>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</si>
  <si>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</si>
  <si>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</si>
  <si>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</si>
  <si>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</si>
  <si>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</si>
  <si>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</si>
  <si>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</si>
  <si>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</si>
  <si>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</si>
  <si>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</si>
  <si>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</si>
  <si>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</si>
  <si>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</si>
  <si>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</si>
  <si>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</si>
  <si>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</si>
  <si>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</si>
  <si>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</si>
  <si>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</si>
  <si>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</si>
  <si>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</si>
  <si>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</si>
  <si>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</si>
  <si>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</si>
  <si>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</si>
  <si>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</si>
  <si>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</si>
  <si>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</si>
  <si>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</si>
  <si>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</si>
  <si>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</si>
  <si>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</si>
  <si>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</si>
  <si>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</si>
  <si>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</si>
  <si>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</si>
  <si>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</si>
  <si>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</si>
  <si>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</si>
  <si>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</si>
  <si>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</si>
  <si>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</si>
  <si>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</si>
  <si>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</si>
  <si>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</si>
  <si>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</si>
  <si>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</si>
  <si>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</si>
  <si>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</si>
  <si>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</si>
  <si>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</si>
  <si>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</si>
  <si>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</si>
  <si>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</si>
  <si>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</si>
  <si>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</si>
  <si>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</si>
  <si>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</si>
  <si>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</si>
  <si>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</si>
  <si>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</si>
  <si>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</si>
  <si>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</si>
  <si>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</si>
  <si>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</si>
  <si>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</si>
  <si>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</si>
  <si>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</si>
  <si>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</si>
  <si>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</si>
  <si>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</si>
  <si>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</si>
  <si>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</si>
  <si>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</si>
  <si>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</si>
  <si>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</si>
  <si>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</si>
  <si>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</si>
  <si>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</si>
  <si>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</si>
  <si>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</si>
  <si>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</si>
  <si>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</si>
  <si>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</si>
  <si>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</si>
  <si>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</si>
  <si>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</si>
  <si>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</si>
  <si>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</si>
  <si>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</si>
  <si>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</si>
  <si>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</si>
  <si>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</si>
  <si>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</si>
  <si>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</si>
  <si>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</si>
  <si>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</si>
  <si>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</si>
  <si>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</si>
  <si>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</si>
  <si>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</si>
  <si>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</si>
  <si>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</si>
  <si>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</si>
  <si>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</si>
  <si>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</si>
  <si>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</si>
  <si>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</si>
  <si>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</si>
  <si>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</si>
  <si>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</si>
  <si>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</si>
  <si>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</si>
  <si>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</si>
  <si>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</si>
  <si>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</si>
  <si>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</si>
  <si>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</si>
  <si>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</si>
  <si>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</si>
  <si>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</si>
  <si>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</si>
  <si>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</si>
  <si>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</si>
  <si>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</si>
  <si>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</si>
  <si>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</si>
  <si>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</si>
  <si>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</si>
  <si>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</si>
  <si>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</si>
  <si>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</si>
  <si>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</si>
  <si>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</si>
  <si>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</si>
  <si>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</si>
  <si>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</si>
  <si>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</si>
  <si>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</si>
  <si>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</si>
  <si>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</si>
  <si>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</si>
  <si>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</si>
  <si>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</si>
  <si>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</si>
  <si>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</si>
  <si>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</si>
  <si>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</si>
  <si>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</si>
  <si>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</si>
  <si>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</si>
  <si>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</si>
  <si>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</si>
  <si>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</si>
  <si>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</si>
  <si>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</si>
  <si>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</si>
  <si>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</si>
  <si>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</si>
  <si>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</si>
  <si>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</si>
  <si>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</si>
  <si>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</si>
  <si>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</si>
  <si>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</si>
  <si>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</si>
  <si>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</si>
  <si>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</si>
  <si>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</si>
  <si>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</si>
  <si>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</si>
  <si>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</si>
  <si>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</si>
  <si>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</si>
  <si>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</si>
  <si>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</si>
  <si>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</si>
  <si>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</si>
  <si>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</si>
  <si>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</si>
  <si>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</si>
  <si>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</si>
  <si>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</si>
  <si>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</si>
  <si>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</si>
  <si>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</si>
  <si>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</si>
  <si>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</si>
  <si>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</si>
  <si>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</si>
  <si>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</si>
  <si>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</si>
  <si>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</si>
  <si>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</si>
  <si>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</si>
  <si>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</si>
  <si>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</si>
  <si>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</si>
  <si>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</si>
  <si>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</si>
  <si>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</si>
  <si>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</si>
  <si>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</si>
  <si>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</si>
  <si>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</si>
  <si>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</si>
  <si>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</si>
  <si>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</si>
  <si>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</si>
  <si>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</si>
  <si>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</si>
  <si>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</si>
  <si>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</si>
  <si>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</si>
  <si>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</si>
  <si>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</si>
  <si>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</si>
  <si>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</si>
  <si>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</si>
  <si>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</si>
  <si>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</si>
  <si>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</si>
  <si>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</si>
  <si>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</si>
  <si>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</si>
  <si>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</si>
  <si>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</si>
  <si>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</si>
  <si>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</si>
  <si>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</si>
  <si>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</si>
  <si>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</si>
  <si>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</si>
  <si>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</si>
  <si>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</si>
  <si>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</si>
  <si>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</si>
  <si>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</si>
  <si>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</si>
  <si>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</si>
  <si>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</si>
  <si>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</si>
  <si>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</si>
  <si>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</si>
  <si>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</si>
  <si>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</si>
  <si>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</si>
  <si>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</si>
  <si>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</si>
  <si>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</si>
  <si>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</si>
  <si>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</si>
  <si>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</si>
  <si>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</si>
  <si>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</si>
  <si>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</si>
  <si>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</si>
  <si>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</si>
  <si>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</si>
  <si>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</si>
  <si>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</si>
  <si>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</si>
  <si>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</si>
  <si>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</si>
  <si>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</si>
  <si>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</si>
  <si>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</si>
  <si>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</si>
  <si>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</si>
  <si>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</si>
  <si>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</si>
  <si>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</si>
  <si>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</si>
  <si>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</si>
  <si>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</si>
  <si>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</si>
  <si>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</si>
  <si>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</si>
  <si>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</si>
  <si>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</si>
  <si>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</si>
  <si>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</si>
  <si>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</si>
  <si>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</si>
  <si>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</si>
  <si>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</si>
  <si>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</si>
  <si>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</si>
  <si>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</si>
  <si>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</si>
  <si>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</si>
  <si>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</si>
  <si>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</si>
  <si>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</si>
  <si>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</si>
  <si>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</si>
  <si>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</si>
  <si>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</si>
  <si>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</si>
  <si>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</si>
  <si>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</si>
  <si>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</si>
  <si>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</si>
  <si>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</si>
  <si>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</si>
  <si>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</si>
  <si>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</si>
  <si>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</si>
  <si>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</si>
  <si>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</si>
  <si>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</si>
  <si>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</si>
  <si>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</si>
  <si>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</si>
  <si>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</si>
  <si>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</si>
  <si>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</si>
  <si>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</si>
  <si>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</si>
  <si>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</si>
  <si>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</si>
  <si>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</si>
  <si>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</si>
  <si>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</si>
  <si>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</si>
  <si>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</si>
  <si>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</si>
  <si>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</si>
  <si>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</si>
  <si>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</si>
  <si>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</si>
  <si>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</si>
  <si>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</si>
  <si>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</si>
  <si>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</si>
  <si>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</si>
  <si>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</si>
  <si>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</si>
  <si>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</si>
  <si>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</si>
  <si>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</si>
  <si>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</si>
  <si>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</si>
  <si>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</si>
  <si>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</si>
  <si>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</si>
  <si>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</si>
  <si>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</si>
  <si>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</si>
  <si>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</si>
  <si>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</si>
  <si>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</si>
  <si>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</si>
  <si>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</si>
  <si>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</si>
  <si>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</si>
  <si>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</si>
  <si>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</si>
  <si>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</si>
  <si>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</si>
  <si>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</si>
  <si>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</si>
  <si>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</si>
  <si>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</si>
  <si>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</si>
  <si>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</si>
  <si>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</si>
  <si>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</si>
  <si>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</si>
  <si>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</si>
  <si>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</si>
  <si>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</si>
  <si>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</si>
  <si>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</si>
  <si>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</si>
  <si>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</si>
  <si>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</si>
  <si>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</si>
  <si>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</si>
  <si>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</si>
  <si>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</si>
  <si>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</si>
  <si>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</si>
  <si>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</si>
  <si>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</si>
  <si>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</si>
  <si>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</si>
  <si>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</si>
  <si>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</si>
  <si>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</si>
  <si>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</si>
  <si>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</si>
  <si>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</si>
  <si>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</si>
  <si>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</si>
  <si>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</si>
  <si>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</si>
  <si>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</si>
  <si>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</si>
  <si>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</si>
  <si>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</si>
  <si>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</si>
  <si>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</si>
  <si>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</si>
  <si>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</si>
  <si>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</si>
  <si>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</si>
  <si>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</si>
  <si>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</si>
  <si>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</si>
  <si>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</si>
  <si>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</si>
  <si>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</si>
  <si>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</si>
  <si>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</si>
  <si>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</si>
  <si>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</si>
  <si>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</si>
  <si>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</si>
  <si>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</si>
  <si>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</si>
  <si>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</si>
  <si>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</si>
  <si>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</si>
  <si>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</si>
  <si>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</si>
  <si>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</si>
  <si>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</si>
  <si>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</si>
  <si>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</si>
  <si>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</si>
  <si>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</si>
  <si>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</si>
  <si>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</si>
  <si>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</si>
  <si>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</si>
  <si>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</si>
  <si>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</si>
  <si>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</si>
  <si>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</si>
  <si>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</si>
  <si>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</si>
  <si>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</si>
  <si>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</si>
  <si>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</si>
  <si>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</si>
  <si>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</si>
  <si>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</si>
  <si>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</si>
  <si>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</si>
  <si>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</si>
  <si>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</si>
  <si>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</si>
  <si>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</si>
  <si>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</si>
  <si>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</si>
  <si>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</si>
  <si>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</si>
  <si>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</si>
  <si>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</si>
  <si>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</si>
  <si>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</si>
  <si>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</si>
  <si>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</si>
  <si>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</si>
  <si>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</si>
  <si>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</si>
  <si>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</si>
  <si>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</si>
  <si>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</si>
  <si>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</si>
  <si>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</si>
  <si>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</si>
  <si>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</si>
  <si>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</si>
  <si>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</si>
  <si>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</si>
  <si>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</si>
  <si>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</si>
  <si>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</si>
  <si>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</si>
  <si>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</si>
  <si>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</si>
  <si>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</si>
  <si>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</si>
  <si>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</si>
  <si>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</si>
  <si>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</si>
  <si>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</si>
  <si>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</si>
  <si>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</si>
  <si>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</si>
  <si>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</si>
  <si>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</si>
  <si>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</si>
  <si>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</si>
  <si>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</si>
  <si>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</si>
  <si>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</si>
  <si>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</si>
  <si>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</si>
  <si>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</si>
  <si>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</si>
  <si>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</si>
  <si>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</si>
  <si>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</si>
  <si>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</si>
  <si>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</si>
  <si>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</si>
  <si>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</si>
  <si>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</si>
  <si>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</si>
  <si>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</si>
  <si>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</si>
  <si>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</si>
  <si>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</si>
  <si>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</si>
  <si>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</si>
  <si>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</si>
  <si>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</si>
  <si>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</si>
  <si>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</si>
  <si>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</si>
  <si>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</si>
  <si>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</si>
  <si>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</si>
  <si>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</si>
  <si>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</si>
  <si>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</si>
  <si>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</si>
  <si>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</si>
  <si>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</si>
  <si>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</si>
  <si>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</si>
  <si>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</si>
  <si>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</si>
  <si>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</si>
  <si>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</si>
  <si>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</si>
  <si>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</si>
  <si>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</si>
  <si>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</si>
  <si>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</si>
  <si>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</si>
  <si>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</si>
  <si>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</si>
  <si>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</si>
  <si>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</si>
  <si>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</si>
  <si>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</si>
  <si>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</si>
  <si>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</si>
  <si>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</si>
  <si>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</si>
  <si>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</si>
  <si>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</si>
  <si>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</si>
  <si>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</si>
  <si>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</si>
  <si>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</si>
  <si>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</si>
  <si>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</si>
  <si>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</si>
  <si>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</si>
  <si>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</si>
  <si>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</si>
  <si>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</si>
  <si>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</si>
  <si>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</si>
  <si>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</si>
  <si>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</si>
  <si>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</si>
  <si>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</si>
  <si>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</si>
  <si>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</si>
  <si>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</si>
  <si>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</si>
  <si>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</si>
  <si>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</si>
  <si>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</si>
  <si>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</si>
  <si>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</si>
  <si>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</si>
  <si>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</si>
  <si>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</si>
  <si>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</si>
  <si>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</si>
  <si>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</si>
  <si>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</si>
  <si>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</si>
  <si>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</si>
  <si>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</si>
  <si>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</si>
  <si>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</si>
  <si>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</si>
  <si>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</si>
  <si>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</si>
  <si>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</si>
  <si>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</si>
  <si>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</si>
  <si>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</si>
  <si>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</si>
  <si>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</si>
  <si>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</si>
  <si>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</si>
  <si>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</si>
  <si>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</si>
  <si>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</si>
  <si>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</si>
  <si>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</si>
  <si>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</si>
  <si>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</si>
  <si>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</si>
  <si>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</si>
  <si>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</si>
  <si>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</si>
  <si>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</si>
  <si>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</si>
  <si>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</si>
  <si>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</si>
  <si>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</si>
  <si>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</si>
  <si>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</si>
  <si>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</si>
  <si>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</si>
  <si>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</si>
  <si>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</si>
  <si>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</si>
  <si>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</si>
  <si>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</si>
  <si>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</si>
  <si>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</si>
  <si>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</si>
  <si>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</si>
  <si>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</si>
  <si>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</si>
  <si>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</si>
  <si>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</si>
  <si>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</si>
  <si>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</si>
  <si>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</si>
  <si>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</si>
  <si>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</si>
  <si>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</si>
  <si>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</si>
  <si>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</si>
  <si>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</si>
  <si>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</si>
  <si>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</si>
  <si>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</si>
  <si>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</si>
  <si>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</si>
  <si>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</si>
  <si>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</si>
  <si>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</si>
  <si>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</si>
  <si>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</si>
  <si>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</si>
  <si>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</si>
  <si>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</si>
  <si>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</si>
  <si>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</si>
  <si>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</si>
  <si>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</si>
  <si>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</si>
  <si>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</si>
  <si>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</si>
  <si>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</si>
  <si>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</si>
  <si>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</si>
  <si>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</si>
  <si>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</si>
  <si>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</si>
  <si>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</si>
  <si>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</si>
  <si>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</si>
  <si>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</si>
  <si>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</si>
  <si>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</si>
  <si>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</si>
  <si>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</si>
  <si>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</si>
  <si>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</si>
  <si>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</si>
  <si>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</si>
  <si>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</si>
  <si>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</si>
  <si>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</si>
  <si>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</si>
  <si>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</si>
  <si>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</si>
  <si>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</si>
  <si>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</si>
  <si>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</si>
  <si>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</si>
  <si>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</si>
  <si>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</si>
  <si>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</si>
  <si>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</si>
  <si>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</si>
  <si>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</si>
  <si>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</si>
  <si>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</si>
  <si>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</si>
  <si>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</si>
  <si>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</si>
  <si>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</si>
  <si>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</si>
  <si>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</si>
  <si>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</si>
  <si>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</si>
  <si>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</si>
  <si>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</si>
  <si>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</si>
  <si>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</si>
  <si>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</si>
  <si>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</si>
  <si>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</si>
  <si>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</si>
  <si>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</si>
  <si>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</si>
  <si>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</si>
  <si>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</si>
  <si>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</si>
  <si>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</si>
  <si>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</si>
  <si>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</si>
  <si>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</si>
  <si>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</si>
  <si>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</si>
  <si>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</si>
  <si>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</si>
  <si>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</si>
  <si>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</si>
  <si>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</si>
  <si>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</si>
  <si>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</si>
  <si>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</si>
  <si>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</si>
  <si>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</si>
  <si>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</si>
  <si>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</si>
  <si>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</si>
  <si>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</si>
  <si>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</si>
  <si>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</si>
  <si>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</si>
  <si>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</si>
  <si>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</si>
  <si>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</si>
  <si>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</si>
  <si>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</si>
  <si>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</si>
  <si>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</si>
  <si>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</si>
  <si>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</si>
  <si>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</si>
  <si>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</si>
  <si>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</si>
  <si>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</si>
  <si>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</si>
  <si>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</si>
  <si>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</si>
  <si>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</si>
  <si>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</si>
  <si>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</si>
  <si>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</si>
  <si>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</si>
  <si>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</si>
  <si>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</si>
  <si>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</si>
  <si>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</si>
  <si>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</si>
  <si>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</si>
  <si>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</si>
  <si>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</si>
  <si>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</si>
  <si>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</si>
  <si>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</si>
  <si>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</si>
  <si>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</si>
  <si>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</si>
  <si>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</si>
  <si>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</si>
  <si>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</si>
  <si>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</si>
  <si>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</si>
  <si>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</si>
  <si>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</si>
  <si>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</si>
  <si>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</si>
  <si>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</si>
  <si>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</si>
  <si>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</si>
  <si>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</si>
  <si>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</si>
  <si>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</si>
  <si>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</si>
  <si>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</si>
  <si>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</si>
  <si>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</si>
  <si>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</si>
  <si>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</si>
  <si>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</si>
  <si>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</si>
  <si>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</si>
  <si>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</si>
  <si>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</si>
  <si>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</si>
  <si>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</si>
  <si>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</si>
  <si>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</si>
  <si>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</si>
  <si>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</si>
  <si>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</si>
  <si>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</si>
  <si>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</si>
  <si>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</si>
  <si>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</si>
  <si>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</si>
  <si>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</si>
  <si>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</si>
  <si>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</si>
  <si>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</si>
  <si>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</si>
  <si>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</si>
  <si>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</si>
  <si>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</si>
  <si>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</si>
  <si>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</si>
  <si>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</si>
  <si>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</si>
  <si>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</si>
  <si>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</si>
  <si>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</si>
  <si>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</si>
  <si>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</si>
  <si>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</si>
  <si>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</si>
  <si>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</si>
  <si>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</si>
  <si>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</si>
  <si>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</si>
  <si>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</si>
  <si>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</si>
  <si>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</si>
  <si>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</si>
  <si>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</si>
  <si>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</si>
  <si>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</si>
  <si>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</si>
  <si>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</si>
  <si>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</si>
  <si>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</si>
  <si>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</si>
  <si>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</si>
  <si>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</si>
  <si>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</si>
  <si>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</si>
  <si>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</si>
  <si>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</si>
  <si>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</si>
  <si>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</si>
  <si>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</si>
  <si>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</si>
  <si>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</si>
  <si>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</si>
  <si>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</si>
  <si>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</si>
  <si>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</si>
  <si>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</si>
  <si>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</si>
  <si>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</si>
  <si>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</si>
  <si>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</si>
  <si>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</si>
  <si>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</si>
  <si>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</si>
  <si>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</si>
  <si>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</si>
  <si>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</si>
  <si>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</si>
  <si>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</si>
  <si>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</si>
  <si>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</si>
  <si>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</si>
  <si>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</si>
  <si>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</si>
  <si>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</si>
  <si>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</si>
  <si>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</si>
  <si>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</si>
  <si>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</si>
  <si>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</si>
  <si>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</si>
  <si>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</si>
  <si>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</si>
  <si>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</si>
  <si>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</si>
  <si>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</si>
  <si>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</si>
  <si>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</si>
  <si>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</si>
  <si>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</si>
  <si>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</si>
  <si>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</si>
  <si>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</si>
  <si>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</si>
  <si>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</si>
  <si>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</si>
  <si>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</si>
  <si>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</si>
  <si>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</si>
  <si>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</si>
  <si>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</si>
  <si>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</si>
  <si>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</si>
  <si>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</si>
  <si>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</si>
  <si>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</si>
  <si>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</si>
  <si>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</si>
  <si>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</si>
  <si>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</si>
  <si>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</si>
  <si>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</si>
  <si>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</si>
  <si>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</si>
  <si>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</si>
  <si>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</si>
  <si>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</si>
  <si>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</si>
  <si>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</si>
  <si>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</si>
  <si>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</si>
  <si>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</si>
  <si>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</si>
  <si>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</si>
  <si>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</si>
  <si>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</si>
  <si>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</si>
  <si>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</si>
  <si>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</si>
  <si>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</si>
  <si>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</si>
  <si>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</si>
  <si>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</si>
  <si>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</si>
  <si>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</si>
  <si>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</si>
  <si>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</si>
  <si>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</si>
  <si>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</si>
  <si>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</si>
  <si>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</si>
  <si>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</si>
  <si>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</si>
  <si>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</si>
  <si>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</si>
  <si>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</si>
  <si>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</si>
  <si>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</si>
  <si>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</si>
  <si>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</si>
  <si>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</si>
  <si>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</si>
  <si>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</si>
  <si>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</si>
  <si>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</si>
  <si>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</si>
  <si>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</si>
  <si>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</si>
  <si>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</si>
  <si>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</si>
  <si>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</si>
  <si>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</si>
  <si>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</si>
  <si>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</si>
  <si>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</si>
  <si>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</si>
  <si>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</si>
  <si>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</si>
  <si>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</si>
  <si>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</si>
  <si>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</si>
  <si>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</si>
  <si>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</si>
  <si>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</si>
  <si>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</si>
  <si>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</si>
  <si>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</si>
  <si>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</si>
  <si>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</si>
  <si>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</si>
  <si>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</si>
  <si>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</si>
  <si>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</si>
  <si>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</si>
  <si>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</si>
  <si>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</si>
  <si>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</si>
  <si>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</si>
  <si>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</si>
  <si>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</si>
  <si>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</si>
  <si>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</si>
  <si>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</si>
  <si>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</si>
  <si>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</si>
  <si>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</si>
  <si>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</si>
  <si>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</si>
  <si>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</si>
  <si>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</si>
  <si>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</si>
  <si>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</si>
  <si>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</si>
  <si>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</si>
  <si>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</si>
  <si>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</si>
  <si>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</si>
  <si>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</si>
  <si>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</si>
  <si>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</si>
  <si>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</si>
  <si>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</si>
  <si>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</si>
  <si>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</si>
  <si>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</si>
  <si>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</si>
  <si>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</si>
  <si>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</si>
  <si>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</si>
  <si>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</si>
  <si>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</si>
  <si>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</si>
  <si>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</si>
  <si>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</si>
  <si>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</si>
  <si>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</si>
  <si>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</si>
  <si>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</si>
  <si>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</si>
  <si>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</si>
  <si>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</si>
  <si>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</si>
  <si>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</si>
  <si>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</si>
  <si>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</si>
  <si>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</si>
  <si>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</si>
  <si>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</si>
  <si>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</si>
  <si>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</si>
  <si>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</si>
  <si>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</si>
  <si>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</si>
  <si>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</si>
  <si>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</si>
  <si>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</si>
  <si>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</si>
  <si>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</si>
  <si>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</si>
  <si>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</si>
  <si>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</si>
  <si>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</si>
  <si>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</si>
  <si>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</si>
  <si>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</si>
  <si>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</si>
  <si>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</si>
  <si>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</si>
  <si>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</si>
  <si>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</si>
  <si>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</si>
  <si>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</si>
  <si>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</si>
  <si>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</si>
  <si>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</si>
  <si>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</si>
  <si>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</si>
  <si>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</si>
  <si>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</si>
  <si>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</si>
  <si>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</si>
  <si>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</si>
  <si>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</si>
  <si>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</si>
  <si>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</si>
  <si>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</si>
  <si>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</si>
  <si>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</si>
  <si>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</si>
  <si>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</si>
  <si>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</si>
  <si>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</si>
  <si>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</si>
  <si>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</si>
  <si>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</si>
  <si>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</si>
  <si>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</si>
  <si>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</si>
  <si>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</si>
  <si>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</si>
  <si>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</si>
  <si>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</si>
  <si>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</si>
  <si>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</si>
  <si>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</si>
  <si>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</si>
  <si>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</si>
  <si>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</si>
  <si>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</si>
  <si>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</si>
  <si>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</si>
  <si>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</si>
  <si>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</si>
  <si>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</si>
  <si>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</si>
  <si>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</si>
  <si>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</si>
  <si>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</si>
  <si>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</si>
  <si>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</si>
  <si>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</si>
  <si>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</si>
  <si>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</si>
  <si>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</si>
  <si>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</si>
  <si>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</si>
  <si>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</si>
  <si>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</si>
  <si>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</si>
  <si>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</si>
  <si>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</si>
  <si>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</si>
  <si>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</si>
  <si>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</si>
  <si>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</si>
  <si>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</si>
  <si>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</si>
  <si>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</si>
  <si>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</si>
  <si>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</si>
  <si>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</si>
  <si>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</si>
  <si>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</si>
  <si>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</si>
  <si>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</si>
  <si>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</si>
  <si>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</si>
  <si>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</si>
  <si>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</si>
  <si>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</si>
  <si>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</si>
  <si>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</si>
  <si>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</si>
  <si>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</si>
  <si>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</si>
  <si>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</si>
  <si>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</si>
  <si>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</si>
  <si>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</si>
  <si>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</si>
  <si>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</si>
  <si>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</si>
  <si>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</si>
  <si>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</si>
  <si>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</si>
  <si>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</si>
  <si>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</si>
  <si>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</si>
  <si>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</si>
  <si>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</si>
  <si>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</si>
  <si>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</si>
  <si>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</si>
  <si>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</si>
  <si>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</si>
  <si>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</si>
  <si>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</si>
  <si>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</si>
  <si>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</si>
  <si>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</si>
  <si>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</si>
  <si>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</si>
  <si>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</si>
  <si>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</si>
  <si>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</si>
  <si>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</si>
  <si>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</si>
  <si>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</si>
  <si>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</si>
  <si>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</si>
  <si>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</si>
  <si>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</si>
  <si>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</si>
  <si>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</si>
  <si>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</si>
  <si>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</si>
  <si>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</si>
  <si>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</si>
  <si>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</si>
  <si>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</si>
  <si>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</si>
  <si>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</si>
  <si>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</si>
  <si>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</si>
  <si>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</si>
  <si>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</si>
  <si>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</si>
  <si>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</si>
  <si>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</si>
  <si>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</si>
  <si>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</si>
  <si>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</si>
  <si>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</si>
  <si>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</si>
  <si>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</si>
  <si>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</si>
  <si>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</si>
  <si>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</si>
  <si>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</si>
  <si>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</si>
  <si>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</si>
  <si>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</si>
  <si>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</si>
  <si>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</si>
  <si>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</si>
  <si>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</si>
  <si>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</si>
  <si>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</si>
  <si>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</si>
  <si>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</si>
  <si>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</si>
  <si>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</si>
  <si>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</si>
  <si>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</si>
  <si>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</si>
  <si>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</si>
  <si>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</si>
  <si>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</si>
  <si>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</si>
  <si>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</si>
  <si>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</si>
  <si>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</si>
  <si>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</si>
  <si>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</si>
  <si>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</si>
  <si>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</si>
  <si>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</si>
  <si>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</si>
  <si>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</si>
  <si>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</si>
  <si>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</si>
  <si>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</si>
  <si>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</si>
  <si>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</si>
  <si>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</si>
  <si>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</si>
  <si>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</si>
  <si>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</si>
  <si>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</si>
  <si>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</si>
  <si>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</si>
  <si>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</si>
  <si>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</si>
  <si>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</si>
  <si>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</si>
  <si>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</si>
  <si>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</si>
  <si>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</si>
  <si>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</si>
  <si>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</si>
  <si>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</si>
  <si>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</si>
  <si>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</si>
  <si>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</si>
  <si>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</si>
  <si>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</si>
  <si>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</si>
  <si>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</si>
  <si>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</si>
  <si>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</si>
  <si>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</si>
  <si>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</si>
  <si>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</si>
  <si>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</si>
  <si>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</si>
  <si>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</si>
  <si>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</si>
  <si>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</si>
  <si>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</si>
  <si>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</si>
  <si>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</si>
  <si>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</si>
  <si>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</si>
  <si>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</si>
  <si>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</si>
  <si>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</si>
  <si>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</si>
  <si>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</si>
  <si>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</si>
  <si>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</si>
  <si>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</si>
  <si>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</si>
  <si>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</si>
  <si>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</si>
  <si>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</si>
  <si>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</si>
  <si>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</si>
  <si>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</si>
  <si>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</si>
  <si>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</si>
  <si>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</si>
  <si>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</si>
  <si>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</si>
  <si>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</si>
  <si>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</si>
  <si>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</si>
  <si>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</si>
  <si>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</si>
  <si>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</si>
  <si>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</si>
  <si>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</si>
  <si>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</si>
  <si>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</si>
  <si>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</si>
  <si>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</si>
  <si>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</si>
  <si>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</si>
  <si>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</si>
  <si>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</si>
  <si>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</si>
  <si>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</si>
  <si>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</si>
  <si>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</si>
  <si>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</si>
  <si>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</si>
  <si>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</si>
  <si>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</si>
  <si>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</si>
  <si>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</si>
  <si>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</si>
  <si>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</si>
  <si>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</si>
  <si>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</si>
  <si>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</si>
  <si>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</si>
  <si>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</si>
  <si>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</si>
  <si>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</si>
  <si>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</si>
  <si>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</si>
  <si>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</si>
  <si>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</si>
  <si>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</si>
  <si>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</si>
  <si>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</si>
  <si>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</si>
  <si>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</si>
  <si>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</si>
  <si>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</si>
  <si>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</si>
  <si>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</si>
  <si>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</si>
  <si>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</si>
  <si>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</si>
  <si>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</si>
  <si>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</si>
  <si>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</si>
  <si>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</si>
  <si>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</si>
  <si>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</si>
  <si>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</si>
  <si>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</si>
  <si>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</si>
  <si>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</si>
  <si>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</si>
  <si>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</si>
  <si>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</si>
  <si>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</si>
  <si>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</si>
  <si>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</si>
  <si>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</si>
  <si>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</si>
  <si>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</si>
  <si>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</si>
  <si>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</si>
  <si>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</si>
  <si>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</si>
  <si>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</si>
  <si>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</si>
  <si>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</si>
  <si>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</si>
  <si>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</si>
  <si>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</si>
  <si>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</si>
  <si>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</si>
  <si>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</si>
  <si>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</si>
  <si>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</si>
  <si>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</si>
  <si>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</si>
  <si>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</si>
  <si>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</si>
  <si>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</si>
  <si>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</si>
  <si>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</si>
  <si>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</si>
  <si>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</si>
  <si>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</si>
  <si>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</si>
  <si>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</si>
  <si>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</si>
  <si>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</si>
  <si>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</si>
  <si>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</si>
  <si>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</si>
  <si>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</si>
  <si>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</si>
  <si>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</si>
  <si>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</si>
  <si>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</si>
  <si>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</si>
  <si>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</si>
  <si>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</si>
  <si>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</si>
  <si>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</si>
  <si>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</si>
  <si>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</si>
  <si>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</si>
  <si>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</si>
  <si>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</si>
  <si>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</si>
  <si>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</si>
  <si>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</si>
  <si>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</si>
  <si>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</si>
  <si>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</si>
  <si>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</si>
  <si>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</si>
  <si>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</si>
  <si>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</si>
  <si>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</si>
  <si>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</si>
  <si>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</si>
  <si>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</si>
  <si>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</si>
  <si>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</si>
  <si>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</si>
  <si>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</si>
  <si>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</si>
  <si>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</si>
  <si>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</si>
  <si>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</si>
  <si>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</si>
  <si>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</si>
  <si>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</si>
  <si>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</si>
  <si>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</si>
  <si>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</si>
  <si>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</si>
  <si>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</si>
  <si>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</si>
  <si>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</si>
  <si>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</si>
  <si>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</si>
  <si>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</si>
  <si>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</si>
  <si>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</si>
  <si>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</si>
  <si>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</si>
  <si>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</si>
  <si>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</si>
  <si>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</si>
  <si>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</si>
  <si>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</si>
  <si>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</si>
  <si>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</si>
  <si>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</si>
  <si>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</si>
  <si>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</si>
  <si>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</si>
  <si>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</si>
  <si>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</si>
  <si>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</si>
  <si>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</si>
  <si>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</si>
  <si>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</si>
  <si>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</si>
  <si>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</si>
  <si>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</si>
  <si>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</si>
  <si>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</si>
  <si>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</si>
  <si>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</si>
  <si>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</si>
  <si>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</si>
  <si>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</si>
  <si>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</si>
  <si>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</si>
  <si>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</si>
  <si>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</si>
  <si>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</si>
  <si>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</si>
  <si>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</si>
  <si>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</si>
  <si>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</si>
  <si>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</si>
  <si>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</si>
  <si>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</si>
  <si>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</si>
  <si>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</si>
  <si>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</si>
  <si>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</si>
  <si>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</si>
  <si>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</si>
  <si>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</si>
  <si>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</si>
  <si>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</si>
  <si>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</si>
  <si>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</si>
  <si>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</si>
  <si>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</si>
  <si>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</si>
  <si>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</si>
  <si>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</si>
  <si>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</si>
  <si>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</si>
  <si>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</si>
  <si>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</si>
  <si>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</si>
  <si>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</si>
  <si>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</si>
  <si>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</si>
  <si>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</si>
  <si>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</si>
  <si>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</si>
  <si>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</si>
  <si>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</si>
  <si>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</si>
  <si>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</si>
  <si>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</si>
  <si>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</si>
  <si>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</si>
  <si>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</si>
  <si>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</si>
  <si>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</si>
  <si>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</si>
  <si>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</si>
  <si>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</si>
  <si>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</si>
  <si>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</si>
  <si>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</si>
  <si>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</si>
  <si>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</si>
  <si>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</si>
  <si>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</si>
  <si>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</si>
  <si>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</si>
  <si>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</si>
  <si>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</si>
  <si>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</si>
  <si>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</si>
  <si>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</si>
  <si>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</si>
  <si>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</si>
  <si>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</si>
  <si>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</si>
  <si>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</si>
  <si>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</si>
  <si>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</si>
  <si>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</si>
  <si>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</si>
  <si>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</si>
  <si>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</si>
  <si>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</si>
  <si>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</si>
  <si>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</si>
  <si>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</si>
  <si>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</si>
  <si>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</si>
  <si>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</si>
  <si>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</si>
  <si>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</si>
  <si>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</si>
  <si>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</si>
  <si>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</si>
  <si>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</si>
  <si>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</si>
  <si>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</si>
  <si>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</si>
  <si>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</si>
  <si>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</si>
  <si>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</si>
  <si>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</si>
  <si>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</si>
  <si>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</si>
  <si>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</si>
  <si>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</si>
  <si>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</si>
  <si>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</si>
  <si>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</si>
  <si>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</si>
  <si>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</si>
  <si>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</si>
  <si>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</si>
  <si>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</si>
  <si>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</si>
  <si>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</si>
  <si>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</si>
  <si>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</si>
  <si>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</si>
  <si>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</si>
  <si>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</si>
  <si>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</si>
  <si>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</si>
  <si>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</si>
  <si>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</si>
  <si>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</si>
  <si>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</si>
  <si>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</si>
  <si>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</si>
  <si>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</si>
  <si>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</si>
  <si>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</si>
  <si>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</si>
  <si>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</si>
  <si>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</si>
  <si>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</si>
  <si>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</si>
  <si>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</si>
  <si>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</si>
  <si>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</si>
  <si>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</si>
  <si>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</si>
  <si>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</si>
  <si>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</si>
  <si>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</si>
  <si>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</si>
  <si>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</si>
  <si>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</si>
  <si>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</si>
  <si>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</si>
  <si>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</si>
  <si>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</si>
  <si>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</si>
  <si>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</si>
  <si>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</si>
  <si>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</si>
  <si>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</si>
  <si>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</si>
  <si>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</si>
  <si>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</si>
  <si>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</si>
  <si>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</si>
  <si>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</si>
  <si>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</si>
  <si>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</si>
  <si>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</si>
  <si>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</si>
  <si>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</si>
  <si>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</si>
  <si>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</si>
  <si>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</si>
  <si>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</si>
  <si>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</si>
  <si>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</si>
  <si>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</si>
  <si>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</si>
  <si>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</si>
  <si>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</si>
  <si>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</si>
  <si>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</si>
  <si>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</si>
  <si>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</si>
  <si>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</si>
  <si>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</si>
  <si>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</si>
  <si>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</si>
  <si>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</si>
  <si>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</si>
  <si>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</si>
  <si>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</si>
  <si>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</si>
  <si>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</si>
  <si>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</si>
  <si>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</si>
  <si>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</si>
  <si>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</si>
  <si>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</si>
  <si>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</si>
  <si>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</si>
  <si>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</si>
  <si>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</si>
  <si>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</si>
  <si>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</si>
  <si>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</si>
  <si>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</si>
  <si>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</si>
  <si>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</si>
  <si>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</si>
  <si>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</si>
  <si>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</si>
  <si>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</si>
  <si>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</si>
  <si>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</si>
  <si>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</si>
  <si>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</si>
  <si>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</si>
  <si>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</si>
  <si>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</si>
  <si>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</si>
  <si>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</si>
  <si>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</si>
  <si>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</si>
  <si>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</si>
  <si>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</si>
  <si>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</si>
  <si>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</si>
  <si>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</si>
  <si>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</si>
  <si>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</si>
  <si>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</si>
  <si>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</si>
  <si>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</si>
  <si>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</si>
  <si>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</si>
  <si>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</si>
  <si>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</si>
  <si>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</si>
  <si>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</si>
  <si>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</si>
  <si>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</si>
  <si>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</si>
  <si>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</si>
  <si>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</si>
  <si>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</si>
  <si>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</si>
  <si>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</si>
  <si>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</si>
  <si>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</si>
  <si>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</si>
  <si>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</si>
  <si>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</si>
  <si>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</si>
  <si>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</si>
  <si>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</si>
  <si>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</si>
  <si>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</si>
  <si>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</si>
  <si>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</si>
  <si>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</si>
  <si>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</si>
  <si>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</si>
  <si>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</si>
  <si>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</si>
  <si>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</si>
  <si>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</si>
  <si>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</si>
  <si>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</si>
  <si>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</si>
  <si>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</si>
  <si>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</si>
  <si>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</si>
  <si>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</si>
  <si>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</si>
  <si>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</si>
  <si>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</si>
  <si>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</si>
  <si>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</si>
  <si>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</si>
  <si>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</si>
  <si>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</si>
  <si>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</si>
  <si>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</si>
  <si>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</si>
  <si>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</si>
  <si>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</si>
  <si>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</si>
  <si>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</si>
  <si>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</si>
  <si>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</si>
  <si>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</si>
  <si>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</si>
  <si>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</si>
  <si>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</si>
  <si>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</si>
  <si>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</si>
  <si>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</si>
  <si>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</si>
  <si>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</si>
  <si>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</si>
  <si>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</si>
  <si>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</si>
  <si>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</si>
  <si>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</si>
  <si>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</si>
  <si>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</si>
  <si>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</si>
  <si>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</si>
  <si>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</si>
  <si>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</si>
  <si>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</si>
  <si>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</si>
  <si>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</si>
  <si>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</si>
  <si>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</si>
  <si>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</si>
  <si>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</si>
  <si>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</si>
  <si>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</si>
  <si>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</si>
  <si>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</si>
  <si>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</si>
  <si>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</si>
  <si>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</si>
  <si>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</si>
  <si>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</si>
  <si>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</si>
  <si>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</si>
  <si>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</si>
  <si>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</si>
  <si>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</si>
  <si>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</si>
  <si>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</si>
  <si>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</si>
  <si>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</si>
  <si>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</si>
  <si>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</si>
  <si>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</si>
  <si>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</si>
  <si>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</si>
  <si>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</si>
  <si>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</si>
  <si>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</si>
  <si>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</si>
  <si>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</si>
  <si>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</si>
  <si>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</si>
  <si>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</si>
  <si>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</si>
  <si>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</si>
  <si>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</si>
  <si>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</si>
  <si>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</si>
  <si>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</si>
  <si>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</si>
  <si>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</si>
  <si>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</si>
  <si>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</si>
  <si>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</si>
  <si>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</si>
  <si>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</si>
  <si>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</si>
  <si>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</si>
  <si>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</si>
  <si>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</si>
  <si>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</si>
  <si>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</si>
  <si>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</si>
  <si>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</si>
  <si>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</si>
  <si>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</si>
  <si>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</si>
  <si>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</si>
  <si>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</si>
  <si>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</si>
  <si>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</si>
  <si>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</si>
  <si>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</si>
  <si>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</si>
  <si>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</si>
  <si>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</si>
  <si>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</si>
  <si>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</si>
  <si>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</si>
  <si>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</si>
  <si>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</si>
  <si>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</si>
  <si>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</si>
  <si>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</si>
  <si>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</si>
  <si>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</si>
  <si>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</si>
  <si>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</si>
  <si>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</si>
  <si>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</si>
  <si>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</si>
  <si>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</si>
  <si>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</si>
  <si>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</si>
  <si>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</si>
  <si>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</si>
  <si>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</si>
  <si>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</si>
  <si>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</si>
  <si>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</si>
  <si>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</si>
  <si>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</si>
  <si>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</si>
  <si>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</si>
  <si>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</si>
  <si>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</si>
  <si>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</si>
  <si>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</si>
  <si>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</si>
  <si>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III. GIMNAZIJA</t>
  </si>
  <si>
    <t>KAMILA FIRINGERA 14</t>
  </si>
  <si>
    <t>ANA MIJAĆANK</t>
  </si>
  <si>
    <t>031 207 088</t>
  </si>
  <si>
    <t>amijacank@gmail.com</t>
  </si>
  <si>
    <t>ured@gimnazija-treca-os.skole.hr</t>
  </si>
  <si>
    <t>DRAŽEN JAKOPOVIĆ,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</si>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</sst>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9096994</v>
      </c>
      <c r="D2" s="63">
        <f>PRRAS!E12</f>
        <v>9505757</v>
      </c>
      <c r="E2" s="63"/>
      <c r="F2" s="63"/>
      <c r="G2" s="64">
        <f t="shared" ref="G2:G65" si="0">(B2/1000)*(C2*1+D2*2)</f>
        <v>28108.508000000002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17941</v>
      </c>
      <c r="L10" s="50">
        <f>INT(VALUE(RefStr!B6))</f>
        <v>17941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00240664</v>
      </c>
      <c r="L11" s="50">
        <f>INT(VALUE(RefStr!B8))</f>
        <v>240664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III. GIMNAZIJA</v>
      </c>
      <c r="L12" s="50">
        <f>LEN(Skriveni!K12)</f>
        <v>14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31000</v>
      </c>
      <c r="L13" s="50">
        <f>INT(VALUE(RefStr!B12))</f>
        <v>31000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OSIJEK</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KAMILA FIRINGERA 14</v>
      </c>
      <c r="L15" s="50">
        <f>LEN(Skriveni!K15)</f>
        <v>19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312</v>
      </c>
      <c r="L19" s="50">
        <f>INT(VALUE(RefStr!B22))</f>
        <v>312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68874747390</v>
      </c>
      <c r="L21" s="50">
        <f>INT(VALUE(RefStr!K14))</f>
        <v>68874747390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ANA MIJAĆANK</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031 207 088</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031 207 088</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amijacank@gmail.com</v>
      </c>
      <c r="L25" s="50">
        <f>LEN(RefStr!H29)</f>
        <v>19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ured@gimnazija-treca-os.skole.hr</v>
      </c>
      <c r="L26" s="50">
        <f>LEN(RefStr!H31)</f>
        <v>32</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DRAŽEN JAKOPOVIĆ, prof.</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167.018.163,23</v>
      </c>
      <c r="L28" s="50">
        <f>SUM(G2:G1561)</f>
        <v>167018163.22500008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142449096.93600002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10392869.634000001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13322412.522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853784.13300000003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8164968</v>
      </c>
      <c r="D46" s="58">
        <f>PRRAS!E56</f>
        <v>8595397</v>
      </c>
      <c r="E46" s="58">
        <v>0</v>
      </c>
      <c r="F46" s="58">
        <v>0</v>
      </c>
      <c r="G46" s="59">
        <f t="shared" si="0"/>
        <v>1141009.29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38865</v>
      </c>
      <c r="D58" s="58">
        <f>PRRAS!E68</f>
        <v>36441</v>
      </c>
      <c r="E58" s="58">
        <v>0</v>
      </c>
      <c r="F58" s="58">
        <v>0</v>
      </c>
      <c r="G58" s="59">
        <f t="shared" si="0"/>
        <v>6369.5790000000006</v>
      </c>
      <c r="H58" s="59">
        <f t="shared" si="1"/>
        <v>0</v>
      </c>
      <c r="I58" s="60">
        <v>0</v>
      </c>
    </row>
    <row r="59" spans="1:9" x14ac:dyDescent="0.2">
      <c r="A59" s="57">
        <v>151</v>
      </c>
      <c r="B59" s="58">
        <f>PRRAS!C69</f>
        <v>58</v>
      </c>
      <c r="C59" s="58">
        <f>PRRAS!D69</f>
        <v>38865</v>
      </c>
      <c r="D59" s="58">
        <f>PRRAS!E69</f>
        <v>36441</v>
      </c>
      <c r="E59" s="58">
        <v>0</v>
      </c>
      <c r="F59" s="58">
        <v>0</v>
      </c>
      <c r="G59" s="59">
        <f t="shared" si="0"/>
        <v>6481.326</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8126103</v>
      </c>
      <c r="D64" s="58">
        <f>PRRAS!E74</f>
        <v>8558956</v>
      </c>
      <c r="E64" s="58">
        <v>0</v>
      </c>
      <c r="F64" s="58">
        <v>0</v>
      </c>
      <c r="G64" s="59">
        <f t="shared" si="0"/>
        <v>1590372.9450000001</v>
      </c>
      <c r="H64" s="59">
        <f t="shared" si="1"/>
        <v>0</v>
      </c>
      <c r="I64" s="60">
        <v>0</v>
      </c>
    </row>
    <row r="65" spans="1:9" x14ac:dyDescent="0.2">
      <c r="A65" s="57">
        <v>151</v>
      </c>
      <c r="B65" s="58">
        <f>PRRAS!C75</f>
        <v>64</v>
      </c>
      <c r="C65" s="58">
        <f>PRRAS!D75</f>
        <v>8126103</v>
      </c>
      <c r="D65" s="58">
        <f>PRRAS!E75</f>
        <v>8443956</v>
      </c>
      <c r="E65" s="58">
        <v>0</v>
      </c>
      <c r="F65" s="58">
        <v>0</v>
      </c>
      <c r="G65" s="59">
        <f t="shared" si="0"/>
        <v>1600896.96</v>
      </c>
      <c r="H65" s="59">
        <f t="shared" si="1"/>
        <v>0</v>
      </c>
      <c r="I65" s="60">
        <v>0</v>
      </c>
    </row>
    <row r="66" spans="1:9" x14ac:dyDescent="0.2">
      <c r="A66" s="57">
        <v>151</v>
      </c>
      <c r="B66" s="58">
        <f>PRRAS!C76</f>
        <v>65</v>
      </c>
      <c r="C66" s="58">
        <f>PRRAS!D76</f>
        <v>0</v>
      </c>
      <c r="D66" s="58">
        <f>PRRAS!E76</f>
        <v>115000</v>
      </c>
      <c r="E66" s="58">
        <v>0</v>
      </c>
      <c r="F66" s="58">
        <v>0</v>
      </c>
      <c r="G66" s="59">
        <f t="shared" ref="G66:G129" si="2">(B66/1000)*(C66*1+D66*2)</f>
        <v>14950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v>
      </c>
      <c r="D75" s="58">
        <f>PRRAS!E85</f>
        <v>7</v>
      </c>
      <c r="E75" s="58">
        <v>0</v>
      </c>
      <c r="F75" s="58">
        <v>0</v>
      </c>
      <c r="G75" s="59">
        <f t="shared" si="2"/>
        <v>1.1839999999999999</v>
      </c>
      <c r="H75" s="59">
        <f t="shared" si="3"/>
        <v>0</v>
      </c>
      <c r="I75" s="60">
        <v>0</v>
      </c>
    </row>
    <row r="76" spans="1:9" x14ac:dyDescent="0.2">
      <c r="A76" s="57">
        <v>151</v>
      </c>
      <c r="B76" s="58">
        <f>PRRAS!C86</f>
        <v>75</v>
      </c>
      <c r="C76" s="58">
        <f>PRRAS!D86</f>
        <v>2</v>
      </c>
      <c r="D76" s="58">
        <f>PRRAS!E86</f>
        <v>7</v>
      </c>
      <c r="E76" s="58">
        <v>0</v>
      </c>
      <c r="F76" s="58">
        <v>0</v>
      </c>
      <c r="G76" s="59">
        <f t="shared" si="2"/>
        <v>1.2</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v>
      </c>
      <c r="D78" s="58">
        <f>PRRAS!E88</f>
        <v>7</v>
      </c>
      <c r="E78" s="58">
        <v>0</v>
      </c>
      <c r="F78" s="58">
        <v>0</v>
      </c>
      <c r="G78" s="59">
        <f t="shared" si="2"/>
        <v>1.232</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63601</v>
      </c>
      <c r="D106" s="58">
        <f>PRRAS!E116</f>
        <v>95655</v>
      </c>
      <c r="E106" s="58">
        <v>0</v>
      </c>
      <c r="F106" s="58">
        <v>0</v>
      </c>
      <c r="G106" s="59">
        <f t="shared" si="2"/>
        <v>26765.654999999999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63601</v>
      </c>
      <c r="D112" s="58">
        <f>PRRAS!E122</f>
        <v>95655</v>
      </c>
      <c r="E112" s="58">
        <v>0</v>
      </c>
      <c r="F112" s="58">
        <v>0</v>
      </c>
      <c r="G112" s="59">
        <f t="shared" si="2"/>
        <v>28295.120999999999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63601</v>
      </c>
      <c r="D117" s="58">
        <f>PRRAS!E127</f>
        <v>95655</v>
      </c>
      <c r="E117" s="58">
        <v>0</v>
      </c>
      <c r="F117" s="58">
        <v>0</v>
      </c>
      <c r="G117" s="59">
        <f t="shared" si="2"/>
        <v>29569.676000000003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79719</v>
      </c>
      <c r="D124" s="58">
        <f>PRRAS!E134</f>
        <v>72931</v>
      </c>
      <c r="E124" s="58">
        <v>0</v>
      </c>
      <c r="F124" s="58">
        <v>0</v>
      </c>
      <c r="G124" s="59">
        <f t="shared" si="2"/>
        <v>27746.463</v>
      </c>
      <c r="H124" s="59">
        <f t="shared" si="3"/>
        <v>0</v>
      </c>
      <c r="I124" s="60">
        <v>0</v>
      </c>
    </row>
    <row r="125" spans="1:9" x14ac:dyDescent="0.2">
      <c r="A125" s="57">
        <v>151</v>
      </c>
      <c r="B125" s="58">
        <f>PRRAS!C135</f>
        <v>124</v>
      </c>
      <c r="C125" s="58">
        <f>PRRAS!D135</f>
        <v>18181</v>
      </c>
      <c r="D125" s="58">
        <f>PRRAS!E135</f>
        <v>5421</v>
      </c>
      <c r="E125" s="58">
        <v>0</v>
      </c>
      <c r="F125" s="58">
        <v>0</v>
      </c>
      <c r="G125" s="59">
        <f t="shared" si="2"/>
        <v>3598.8519999999999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18181</v>
      </c>
      <c r="D127" s="58">
        <f>PRRAS!E137</f>
        <v>5421</v>
      </c>
      <c r="E127" s="58">
        <v>0</v>
      </c>
      <c r="F127" s="58">
        <v>0</v>
      </c>
      <c r="G127" s="59">
        <f t="shared" si="2"/>
        <v>3656.8980000000001</v>
      </c>
      <c r="H127" s="59">
        <f t="shared" si="3"/>
        <v>0</v>
      </c>
      <c r="I127" s="60">
        <v>0</v>
      </c>
    </row>
    <row r="128" spans="1:9" x14ac:dyDescent="0.2">
      <c r="A128" s="57">
        <v>151</v>
      </c>
      <c r="B128" s="58">
        <f>PRRAS!C138</f>
        <v>127</v>
      </c>
      <c r="C128" s="58">
        <f>PRRAS!D138</f>
        <v>61538</v>
      </c>
      <c r="D128" s="58">
        <f>PRRAS!E138</f>
        <v>67510</v>
      </c>
      <c r="E128" s="58">
        <v>0</v>
      </c>
      <c r="F128" s="58">
        <v>0</v>
      </c>
      <c r="G128" s="59">
        <f t="shared" si="2"/>
        <v>24962.866000000002</v>
      </c>
      <c r="H128" s="59">
        <f t="shared" si="3"/>
        <v>0</v>
      </c>
      <c r="I128" s="60">
        <v>0</v>
      </c>
    </row>
    <row r="129" spans="1:9" x14ac:dyDescent="0.2">
      <c r="A129" s="57">
        <v>151</v>
      </c>
      <c r="B129" s="58">
        <f>PRRAS!C139</f>
        <v>128</v>
      </c>
      <c r="C129" s="58">
        <f>PRRAS!D139</f>
        <v>61538</v>
      </c>
      <c r="D129" s="58">
        <f>PRRAS!E139</f>
        <v>67510</v>
      </c>
      <c r="E129" s="58">
        <v>0</v>
      </c>
      <c r="F129" s="58">
        <v>0</v>
      </c>
      <c r="G129" s="59">
        <f t="shared" si="2"/>
        <v>25159.423999999999</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788704</v>
      </c>
      <c r="D131" s="58">
        <f>PRRAS!E141</f>
        <v>741767</v>
      </c>
      <c r="E131" s="58">
        <v>0</v>
      </c>
      <c r="F131" s="58">
        <v>0</v>
      </c>
      <c r="G131" s="59">
        <f t="shared" si="4"/>
        <v>295390.94</v>
      </c>
      <c r="H131" s="59">
        <f t="shared" si="5"/>
        <v>0</v>
      </c>
      <c r="I131" s="60">
        <v>0</v>
      </c>
    </row>
    <row r="132" spans="1:9" x14ac:dyDescent="0.2">
      <c r="A132" s="57">
        <v>151</v>
      </c>
      <c r="B132" s="58">
        <f>PRRAS!C142</f>
        <v>131</v>
      </c>
      <c r="C132" s="58">
        <f>PRRAS!D142</f>
        <v>788704</v>
      </c>
      <c r="D132" s="58">
        <f>PRRAS!E142</f>
        <v>741767</v>
      </c>
      <c r="E132" s="58">
        <v>0</v>
      </c>
      <c r="F132" s="58">
        <v>0</v>
      </c>
      <c r="G132" s="59">
        <f t="shared" si="4"/>
        <v>297663.17800000001</v>
      </c>
      <c r="H132" s="59">
        <f t="shared" si="5"/>
        <v>0</v>
      </c>
      <c r="I132" s="60">
        <v>0</v>
      </c>
    </row>
    <row r="133" spans="1:9" x14ac:dyDescent="0.2">
      <c r="A133" s="57">
        <v>151</v>
      </c>
      <c r="B133" s="58">
        <f>PRRAS!C143</f>
        <v>132</v>
      </c>
      <c r="C133" s="58">
        <f>PRRAS!D143</f>
        <v>734834</v>
      </c>
      <c r="D133" s="58">
        <f>PRRAS!E143</f>
        <v>691856</v>
      </c>
      <c r="E133" s="58">
        <v>0</v>
      </c>
      <c r="F133" s="58">
        <v>0</v>
      </c>
      <c r="G133" s="59">
        <f t="shared" si="4"/>
        <v>279648.07199999999</v>
      </c>
      <c r="H133" s="59">
        <f t="shared" si="5"/>
        <v>0</v>
      </c>
      <c r="I133" s="60">
        <v>0</v>
      </c>
    </row>
    <row r="134" spans="1:9" x14ac:dyDescent="0.2">
      <c r="A134" s="57">
        <v>151</v>
      </c>
      <c r="B134" s="58">
        <f>PRRAS!C144</f>
        <v>133</v>
      </c>
      <c r="C134" s="58">
        <f>PRRAS!D144</f>
        <v>53870</v>
      </c>
      <c r="D134" s="58">
        <f>PRRAS!E144</f>
        <v>49911</v>
      </c>
      <c r="E134" s="58">
        <v>0</v>
      </c>
      <c r="F134" s="58">
        <v>0</v>
      </c>
      <c r="G134" s="59">
        <f t="shared" si="4"/>
        <v>20441.036</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8999990</v>
      </c>
      <c r="D149" s="58">
        <f>PRRAS!E159</f>
        <v>9317115</v>
      </c>
      <c r="E149" s="58">
        <v>0</v>
      </c>
      <c r="F149" s="58">
        <v>0</v>
      </c>
      <c r="G149" s="59">
        <f t="shared" si="4"/>
        <v>4089864.5599999996</v>
      </c>
      <c r="H149" s="59">
        <f t="shared" si="5"/>
        <v>0</v>
      </c>
      <c r="I149" s="60">
        <v>0</v>
      </c>
    </row>
    <row r="150" spans="1:9" x14ac:dyDescent="0.2">
      <c r="A150" s="57">
        <v>151</v>
      </c>
      <c r="B150" s="58">
        <f>PRRAS!C160</f>
        <v>149</v>
      </c>
      <c r="C150" s="58">
        <f>PRRAS!D160</f>
        <v>8072855</v>
      </c>
      <c r="D150" s="58">
        <f>PRRAS!E160</f>
        <v>8414933</v>
      </c>
      <c r="E150" s="58">
        <v>0</v>
      </c>
      <c r="F150" s="58">
        <v>0</v>
      </c>
      <c r="G150" s="59">
        <f t="shared" si="4"/>
        <v>3710505.429</v>
      </c>
      <c r="H150" s="59">
        <f t="shared" si="5"/>
        <v>0</v>
      </c>
      <c r="I150" s="60">
        <v>0</v>
      </c>
    </row>
    <row r="151" spans="1:9" x14ac:dyDescent="0.2">
      <c r="A151" s="57">
        <v>151</v>
      </c>
      <c r="B151" s="58">
        <f>PRRAS!C161</f>
        <v>150</v>
      </c>
      <c r="C151" s="58">
        <f>PRRAS!D161</f>
        <v>6651897</v>
      </c>
      <c r="D151" s="58">
        <f>PRRAS!E161</f>
        <v>6956439</v>
      </c>
      <c r="E151" s="58">
        <v>0</v>
      </c>
      <c r="F151" s="58">
        <v>0</v>
      </c>
      <c r="G151" s="59">
        <f t="shared" si="4"/>
        <v>3084716.25</v>
      </c>
      <c r="H151" s="59">
        <f t="shared" si="5"/>
        <v>0</v>
      </c>
      <c r="I151" s="60">
        <v>0</v>
      </c>
    </row>
    <row r="152" spans="1:9" x14ac:dyDescent="0.2">
      <c r="A152" s="57">
        <v>151</v>
      </c>
      <c r="B152" s="58">
        <f>PRRAS!C162</f>
        <v>151</v>
      </c>
      <c r="C152" s="58">
        <f>PRRAS!D162</f>
        <v>6651647</v>
      </c>
      <c r="D152" s="58">
        <f>PRRAS!E162</f>
        <v>6956439</v>
      </c>
      <c r="E152" s="58">
        <v>0</v>
      </c>
      <c r="F152" s="58">
        <v>0</v>
      </c>
      <c r="G152" s="59">
        <f t="shared" si="4"/>
        <v>3105243.2749999999</v>
      </c>
      <c r="H152" s="59">
        <f t="shared" si="5"/>
        <v>0</v>
      </c>
      <c r="I152" s="60">
        <v>0</v>
      </c>
    </row>
    <row r="153" spans="1:9" x14ac:dyDescent="0.2">
      <c r="A153" s="57">
        <v>151</v>
      </c>
      <c r="B153" s="58">
        <f>PRRAS!C163</f>
        <v>152</v>
      </c>
      <c r="C153" s="58">
        <f>PRRAS!D163</f>
        <v>250</v>
      </c>
      <c r="D153" s="58">
        <f>PRRAS!E163</f>
        <v>0</v>
      </c>
      <c r="E153" s="58">
        <v>0</v>
      </c>
      <c r="F153" s="58">
        <v>0</v>
      </c>
      <c r="G153" s="59">
        <f t="shared" si="4"/>
        <v>38</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292041</v>
      </c>
      <c r="D156" s="58">
        <f>PRRAS!E166</f>
        <v>267129</v>
      </c>
      <c r="E156" s="58">
        <v>0</v>
      </c>
      <c r="F156" s="58">
        <v>0</v>
      </c>
      <c r="G156" s="59">
        <f t="shared" si="4"/>
        <v>128076.345</v>
      </c>
      <c r="H156" s="59">
        <f t="shared" si="5"/>
        <v>0</v>
      </c>
      <c r="I156" s="60">
        <v>0</v>
      </c>
    </row>
    <row r="157" spans="1:9" x14ac:dyDescent="0.2">
      <c r="A157" s="57">
        <v>151</v>
      </c>
      <c r="B157" s="58">
        <f>PRRAS!C167</f>
        <v>156</v>
      </c>
      <c r="C157" s="58">
        <f>PRRAS!D167</f>
        <v>1128917</v>
      </c>
      <c r="D157" s="58">
        <f>PRRAS!E167</f>
        <v>1191365</v>
      </c>
      <c r="E157" s="58">
        <v>0</v>
      </c>
      <c r="F157" s="58">
        <v>0</v>
      </c>
      <c r="G157" s="59">
        <f t="shared" si="4"/>
        <v>547816.93200000003</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1017338</v>
      </c>
      <c r="D159" s="58">
        <f>PRRAS!E169</f>
        <v>1073614</v>
      </c>
      <c r="E159" s="58">
        <v>0</v>
      </c>
      <c r="F159" s="58">
        <v>0</v>
      </c>
      <c r="G159" s="59">
        <f t="shared" si="4"/>
        <v>500001.42800000001</v>
      </c>
      <c r="H159" s="59">
        <f t="shared" si="5"/>
        <v>0</v>
      </c>
      <c r="I159" s="60">
        <v>0</v>
      </c>
    </row>
    <row r="160" spans="1:9" x14ac:dyDescent="0.2">
      <c r="A160" s="57">
        <v>151</v>
      </c>
      <c r="B160" s="58">
        <f>PRRAS!C170</f>
        <v>159</v>
      </c>
      <c r="C160" s="58">
        <f>PRRAS!D170</f>
        <v>111579</v>
      </c>
      <c r="D160" s="58">
        <f>PRRAS!E170</f>
        <v>117751</v>
      </c>
      <c r="E160" s="58">
        <v>0</v>
      </c>
      <c r="F160" s="58">
        <v>0</v>
      </c>
      <c r="G160" s="59">
        <f t="shared" si="4"/>
        <v>55185.879000000001</v>
      </c>
      <c r="H160" s="59">
        <f t="shared" si="5"/>
        <v>0</v>
      </c>
      <c r="I160" s="60">
        <v>0</v>
      </c>
    </row>
    <row r="161" spans="1:9" x14ac:dyDescent="0.2">
      <c r="A161" s="57">
        <v>151</v>
      </c>
      <c r="B161" s="58">
        <f>PRRAS!C171</f>
        <v>160</v>
      </c>
      <c r="C161" s="58">
        <f>PRRAS!D171</f>
        <v>923460</v>
      </c>
      <c r="D161" s="58">
        <f>PRRAS!E171</f>
        <v>898926</v>
      </c>
      <c r="E161" s="58">
        <v>0</v>
      </c>
      <c r="F161" s="58">
        <v>0</v>
      </c>
      <c r="G161" s="59">
        <f t="shared" si="4"/>
        <v>435409.91999999998</v>
      </c>
      <c r="H161" s="59">
        <f t="shared" si="5"/>
        <v>0</v>
      </c>
      <c r="I161" s="60">
        <v>0</v>
      </c>
    </row>
    <row r="162" spans="1:9" x14ac:dyDescent="0.2">
      <c r="A162" s="57">
        <v>151</v>
      </c>
      <c r="B162" s="58">
        <f>PRRAS!C172</f>
        <v>161</v>
      </c>
      <c r="C162" s="58">
        <f>PRRAS!D172</f>
        <v>254477</v>
      </c>
      <c r="D162" s="58">
        <f>PRRAS!E172</f>
        <v>245841</v>
      </c>
      <c r="E162" s="58">
        <v>0</v>
      </c>
      <c r="F162" s="58">
        <v>0</v>
      </c>
      <c r="G162" s="59">
        <f t="shared" si="4"/>
        <v>120131.599</v>
      </c>
      <c r="H162" s="59">
        <f t="shared" si="5"/>
        <v>0</v>
      </c>
      <c r="I162" s="60">
        <v>0</v>
      </c>
    </row>
    <row r="163" spans="1:9" x14ac:dyDescent="0.2">
      <c r="A163" s="57">
        <v>151</v>
      </c>
      <c r="B163" s="58">
        <f>PRRAS!C173</f>
        <v>162</v>
      </c>
      <c r="C163" s="58">
        <f>PRRAS!D173</f>
        <v>87159</v>
      </c>
      <c r="D163" s="58">
        <f>PRRAS!E173</f>
        <v>89030</v>
      </c>
      <c r="E163" s="58">
        <v>0</v>
      </c>
      <c r="F163" s="58">
        <v>0</v>
      </c>
      <c r="G163" s="59">
        <f t="shared" si="4"/>
        <v>42965.478000000003</v>
      </c>
      <c r="H163" s="59">
        <f t="shared" si="5"/>
        <v>0</v>
      </c>
      <c r="I163" s="60">
        <v>0</v>
      </c>
    </row>
    <row r="164" spans="1:9" x14ac:dyDescent="0.2">
      <c r="A164" s="57">
        <v>151</v>
      </c>
      <c r="B164" s="58">
        <f>PRRAS!C174</f>
        <v>163</v>
      </c>
      <c r="C164" s="58">
        <f>PRRAS!D174</f>
        <v>159817</v>
      </c>
      <c r="D164" s="58">
        <f>PRRAS!E174</f>
        <v>154166</v>
      </c>
      <c r="E164" s="58">
        <v>0</v>
      </c>
      <c r="F164" s="58">
        <v>0</v>
      </c>
      <c r="G164" s="59">
        <f t="shared" si="4"/>
        <v>76308.286999999997</v>
      </c>
      <c r="H164" s="59">
        <f t="shared" si="5"/>
        <v>0</v>
      </c>
      <c r="I164" s="60">
        <v>0</v>
      </c>
    </row>
    <row r="165" spans="1:9" x14ac:dyDescent="0.2">
      <c r="A165" s="57">
        <v>151</v>
      </c>
      <c r="B165" s="58">
        <f>PRRAS!C175</f>
        <v>164</v>
      </c>
      <c r="C165" s="58">
        <f>PRRAS!D175</f>
        <v>7501</v>
      </c>
      <c r="D165" s="58">
        <f>PRRAS!E175</f>
        <v>2645</v>
      </c>
      <c r="E165" s="58">
        <v>0</v>
      </c>
      <c r="F165" s="58">
        <v>0</v>
      </c>
      <c r="G165" s="59">
        <f t="shared" si="4"/>
        <v>2097.7240000000002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359754</v>
      </c>
      <c r="D167" s="58">
        <f>PRRAS!E177</f>
        <v>373628</v>
      </c>
      <c r="E167" s="58">
        <v>0</v>
      </c>
      <c r="F167" s="58">
        <v>0</v>
      </c>
      <c r="G167" s="59">
        <f t="shared" si="4"/>
        <v>183763.66</v>
      </c>
      <c r="H167" s="59">
        <f t="shared" si="5"/>
        <v>0</v>
      </c>
      <c r="I167" s="60">
        <v>0</v>
      </c>
    </row>
    <row r="168" spans="1:9" x14ac:dyDescent="0.2">
      <c r="A168" s="57">
        <v>151</v>
      </c>
      <c r="B168" s="58">
        <f>PRRAS!C178</f>
        <v>167</v>
      </c>
      <c r="C168" s="58">
        <f>PRRAS!D178</f>
        <v>66333</v>
      </c>
      <c r="D168" s="58">
        <f>PRRAS!E178</f>
        <v>73874</v>
      </c>
      <c r="E168" s="58">
        <v>0</v>
      </c>
      <c r="F168" s="58">
        <v>0</v>
      </c>
      <c r="G168" s="59">
        <f t="shared" si="4"/>
        <v>35751.527000000002</v>
      </c>
      <c r="H168" s="59">
        <f t="shared" si="5"/>
        <v>0</v>
      </c>
      <c r="I168" s="60">
        <v>0</v>
      </c>
    </row>
    <row r="169" spans="1:9" x14ac:dyDescent="0.2">
      <c r="A169" s="57">
        <v>151</v>
      </c>
      <c r="B169" s="58">
        <f>PRRAS!C179</f>
        <v>168</v>
      </c>
      <c r="C169" s="58">
        <f>PRRAS!D179</f>
        <v>0</v>
      </c>
      <c r="D169" s="58">
        <f>PRRAS!E179</f>
        <v>6912</v>
      </c>
      <c r="E169" s="58">
        <v>0</v>
      </c>
      <c r="F169" s="58">
        <v>0</v>
      </c>
      <c r="G169" s="59">
        <f t="shared" si="4"/>
        <v>2322.4320000000002</v>
      </c>
      <c r="H169" s="59">
        <f t="shared" si="5"/>
        <v>0</v>
      </c>
      <c r="I169" s="60">
        <v>0</v>
      </c>
    </row>
    <row r="170" spans="1:9" x14ac:dyDescent="0.2">
      <c r="A170" s="57">
        <v>151</v>
      </c>
      <c r="B170" s="58">
        <f>PRRAS!C180</f>
        <v>169</v>
      </c>
      <c r="C170" s="58">
        <f>PRRAS!D180</f>
        <v>255109</v>
      </c>
      <c r="D170" s="58">
        <f>PRRAS!E180</f>
        <v>244420</v>
      </c>
      <c r="E170" s="58">
        <v>0</v>
      </c>
      <c r="F170" s="58">
        <v>0</v>
      </c>
      <c r="G170" s="59">
        <f t="shared" si="4"/>
        <v>125727.38100000001</v>
      </c>
      <c r="H170" s="59">
        <f t="shared" si="5"/>
        <v>0</v>
      </c>
      <c r="I170" s="60">
        <v>0</v>
      </c>
    </row>
    <row r="171" spans="1:9" x14ac:dyDescent="0.2">
      <c r="A171" s="57">
        <v>151</v>
      </c>
      <c r="B171" s="58">
        <f>PRRAS!C181</f>
        <v>170</v>
      </c>
      <c r="C171" s="58">
        <f>PRRAS!D181</f>
        <v>14139</v>
      </c>
      <c r="D171" s="58">
        <f>PRRAS!E181</f>
        <v>17996</v>
      </c>
      <c r="E171" s="58">
        <v>0</v>
      </c>
      <c r="F171" s="58">
        <v>0</v>
      </c>
      <c r="G171" s="59">
        <f t="shared" si="4"/>
        <v>8522.27</v>
      </c>
      <c r="H171" s="59">
        <f t="shared" si="5"/>
        <v>0</v>
      </c>
      <c r="I171" s="60">
        <v>0</v>
      </c>
    </row>
    <row r="172" spans="1:9" x14ac:dyDescent="0.2">
      <c r="A172" s="57">
        <v>151</v>
      </c>
      <c r="B172" s="58">
        <f>PRRAS!C182</f>
        <v>171</v>
      </c>
      <c r="C172" s="58">
        <f>PRRAS!D182</f>
        <v>22453</v>
      </c>
      <c r="D172" s="58">
        <f>PRRAS!E182</f>
        <v>27458</v>
      </c>
      <c r="E172" s="58">
        <v>0</v>
      </c>
      <c r="F172" s="58">
        <v>0</v>
      </c>
      <c r="G172" s="59">
        <f t="shared" si="4"/>
        <v>13230.099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1720</v>
      </c>
      <c r="D174" s="58">
        <f>PRRAS!E184</f>
        <v>2968</v>
      </c>
      <c r="E174" s="58">
        <v>0</v>
      </c>
      <c r="F174" s="58">
        <v>0</v>
      </c>
      <c r="G174" s="59">
        <f t="shared" si="4"/>
        <v>1324.4879999999998</v>
      </c>
      <c r="H174" s="59">
        <f t="shared" si="5"/>
        <v>0</v>
      </c>
      <c r="I174" s="60">
        <v>0</v>
      </c>
    </row>
    <row r="175" spans="1:9" x14ac:dyDescent="0.2">
      <c r="A175" s="57">
        <v>151</v>
      </c>
      <c r="B175" s="58">
        <f>PRRAS!C185</f>
        <v>174</v>
      </c>
      <c r="C175" s="58">
        <f>PRRAS!D185</f>
        <v>176669</v>
      </c>
      <c r="D175" s="58">
        <f>PRRAS!E185</f>
        <v>219465</v>
      </c>
      <c r="E175" s="58">
        <v>0</v>
      </c>
      <c r="F175" s="58">
        <v>0</v>
      </c>
      <c r="G175" s="59">
        <f t="shared" si="4"/>
        <v>107114.226</v>
      </c>
      <c r="H175" s="59">
        <f t="shared" si="5"/>
        <v>0</v>
      </c>
      <c r="I175" s="60">
        <v>0</v>
      </c>
    </row>
    <row r="176" spans="1:9" x14ac:dyDescent="0.2">
      <c r="A176" s="57">
        <v>151</v>
      </c>
      <c r="B176" s="58">
        <f>PRRAS!C186</f>
        <v>175</v>
      </c>
      <c r="C176" s="58">
        <f>PRRAS!D186</f>
        <v>16093</v>
      </c>
      <c r="D176" s="58">
        <f>PRRAS!E186</f>
        <v>61480</v>
      </c>
      <c r="E176" s="58">
        <v>0</v>
      </c>
      <c r="F176" s="58">
        <v>0</v>
      </c>
      <c r="G176" s="59">
        <f t="shared" si="4"/>
        <v>24334.274999999998</v>
      </c>
      <c r="H176" s="59">
        <f t="shared" si="5"/>
        <v>0</v>
      </c>
      <c r="I176" s="60">
        <v>0</v>
      </c>
    </row>
    <row r="177" spans="1:9" x14ac:dyDescent="0.2">
      <c r="A177" s="57">
        <v>151</v>
      </c>
      <c r="B177" s="58">
        <f>PRRAS!C187</f>
        <v>176</v>
      </c>
      <c r="C177" s="58">
        <f>PRRAS!D187</f>
        <v>54956</v>
      </c>
      <c r="D177" s="58">
        <f>PRRAS!E187</f>
        <v>29188</v>
      </c>
      <c r="E177" s="58">
        <v>0</v>
      </c>
      <c r="F177" s="58">
        <v>0</v>
      </c>
      <c r="G177" s="59">
        <f t="shared" si="4"/>
        <v>19946.431999999997</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56908</v>
      </c>
      <c r="D179" s="58">
        <f>PRRAS!E189</f>
        <v>56912</v>
      </c>
      <c r="E179" s="58">
        <v>0</v>
      </c>
      <c r="F179" s="58">
        <v>0</v>
      </c>
      <c r="G179" s="59">
        <f t="shared" si="4"/>
        <v>30390.295999999998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18654</v>
      </c>
      <c r="D181" s="58">
        <f>PRRAS!E191</f>
        <v>12225</v>
      </c>
      <c r="E181" s="58">
        <v>0</v>
      </c>
      <c r="F181" s="58">
        <v>0</v>
      </c>
      <c r="G181" s="59">
        <f t="shared" si="4"/>
        <v>7758.7199999999993</v>
      </c>
      <c r="H181" s="59">
        <f t="shared" si="5"/>
        <v>0</v>
      </c>
      <c r="I181" s="60">
        <v>0</v>
      </c>
    </row>
    <row r="182" spans="1:9" x14ac:dyDescent="0.2">
      <c r="A182" s="57">
        <v>151</v>
      </c>
      <c r="B182" s="58">
        <f>PRRAS!C192</f>
        <v>181</v>
      </c>
      <c r="C182" s="58">
        <f>PRRAS!D192</f>
        <v>20635</v>
      </c>
      <c r="D182" s="58">
        <f>PRRAS!E192</f>
        <v>14243</v>
      </c>
      <c r="E182" s="58">
        <v>0</v>
      </c>
      <c r="F182" s="58">
        <v>0</v>
      </c>
      <c r="G182" s="59">
        <f t="shared" si="4"/>
        <v>8890.9009999999998</v>
      </c>
      <c r="H182" s="59">
        <f t="shared" si="5"/>
        <v>0</v>
      </c>
      <c r="I182" s="60">
        <v>0</v>
      </c>
    </row>
    <row r="183" spans="1:9" x14ac:dyDescent="0.2">
      <c r="A183" s="57">
        <v>151</v>
      </c>
      <c r="B183" s="58">
        <f>PRRAS!C193</f>
        <v>182</v>
      </c>
      <c r="C183" s="58">
        <f>PRRAS!D193</f>
        <v>675</v>
      </c>
      <c r="D183" s="58">
        <f>PRRAS!E193</f>
        <v>675</v>
      </c>
      <c r="E183" s="58">
        <v>0</v>
      </c>
      <c r="F183" s="58">
        <v>0</v>
      </c>
      <c r="G183" s="59">
        <f t="shared" si="4"/>
        <v>368.55</v>
      </c>
      <c r="H183" s="59">
        <f t="shared" si="5"/>
        <v>0</v>
      </c>
      <c r="I183" s="60">
        <v>0</v>
      </c>
    </row>
    <row r="184" spans="1:9" x14ac:dyDescent="0.2">
      <c r="A184" s="57">
        <v>151</v>
      </c>
      <c r="B184" s="58">
        <f>PRRAS!C194</f>
        <v>183</v>
      </c>
      <c r="C184" s="58">
        <f>PRRAS!D194</f>
        <v>8748</v>
      </c>
      <c r="D184" s="58">
        <f>PRRAS!E194</f>
        <v>44742</v>
      </c>
      <c r="E184" s="58">
        <v>0</v>
      </c>
      <c r="F184" s="58">
        <v>0</v>
      </c>
      <c r="G184" s="59">
        <f t="shared" si="4"/>
        <v>17976.455999999998</v>
      </c>
      <c r="H184" s="59">
        <f t="shared" si="5"/>
        <v>0</v>
      </c>
      <c r="I184" s="60">
        <v>0</v>
      </c>
    </row>
    <row r="185" spans="1:9" x14ac:dyDescent="0.2">
      <c r="A185" s="57">
        <v>151</v>
      </c>
      <c r="B185" s="58">
        <f>PRRAS!C195</f>
        <v>184</v>
      </c>
      <c r="C185" s="58">
        <f>PRRAS!D195</f>
        <v>50939</v>
      </c>
      <c r="D185" s="58">
        <f>PRRAS!E195</f>
        <v>31861</v>
      </c>
      <c r="E185" s="58">
        <v>0</v>
      </c>
      <c r="F185" s="58">
        <v>0</v>
      </c>
      <c r="G185" s="59">
        <f t="shared" si="4"/>
        <v>21097.624</v>
      </c>
      <c r="H185" s="59">
        <f t="shared" si="5"/>
        <v>0</v>
      </c>
      <c r="I185" s="60">
        <v>0</v>
      </c>
    </row>
    <row r="186" spans="1:9" x14ac:dyDescent="0.2">
      <c r="A186" s="57">
        <v>151</v>
      </c>
      <c r="B186" s="58">
        <f>PRRAS!C196</f>
        <v>185</v>
      </c>
      <c r="C186" s="58">
        <f>PRRAS!D196</f>
        <v>81621</v>
      </c>
      <c r="D186" s="58">
        <f>PRRAS!E196</f>
        <v>28131</v>
      </c>
      <c r="E186" s="58">
        <v>0</v>
      </c>
      <c r="F186" s="58">
        <v>0</v>
      </c>
      <c r="G186" s="59">
        <f t="shared" si="4"/>
        <v>25508.355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660</v>
      </c>
      <c r="D189" s="58">
        <f>PRRAS!E199</f>
        <v>3003</v>
      </c>
      <c r="E189" s="58">
        <v>0</v>
      </c>
      <c r="F189" s="58">
        <v>0</v>
      </c>
      <c r="G189" s="59">
        <f t="shared" si="4"/>
        <v>1253.2080000000001</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21622</v>
      </c>
      <c r="D191" s="58">
        <f>PRRAS!E201</f>
        <v>6121</v>
      </c>
      <c r="E191" s="58">
        <v>0</v>
      </c>
      <c r="F191" s="58">
        <v>0</v>
      </c>
      <c r="G191" s="59">
        <f t="shared" si="4"/>
        <v>6434.16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59339</v>
      </c>
      <c r="D193" s="58">
        <f>PRRAS!E203</f>
        <v>19007</v>
      </c>
      <c r="E193" s="58">
        <v>0</v>
      </c>
      <c r="F193" s="58">
        <v>0</v>
      </c>
      <c r="G193" s="59">
        <f t="shared" si="4"/>
        <v>18691.776000000002</v>
      </c>
      <c r="H193" s="59">
        <f t="shared" si="5"/>
        <v>0</v>
      </c>
      <c r="I193" s="60">
        <v>0</v>
      </c>
    </row>
    <row r="194" spans="1:9" x14ac:dyDescent="0.2">
      <c r="A194" s="57">
        <v>151</v>
      </c>
      <c r="B194" s="58">
        <f>PRRAS!C204</f>
        <v>193</v>
      </c>
      <c r="C194" s="58">
        <f>PRRAS!D204</f>
        <v>3675</v>
      </c>
      <c r="D194" s="58">
        <f>PRRAS!E204</f>
        <v>3256</v>
      </c>
      <c r="E194" s="58">
        <v>0</v>
      </c>
      <c r="F194" s="58">
        <v>0</v>
      </c>
      <c r="G194" s="59">
        <f t="shared" ref="G194:G257" si="6">(B194/1000)*(C194*1+D194*2)</f>
        <v>1966.0910000000001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3675</v>
      </c>
      <c r="D208" s="58">
        <f>PRRAS!E218</f>
        <v>3256</v>
      </c>
      <c r="E208" s="58">
        <v>0</v>
      </c>
      <c r="F208" s="58">
        <v>0</v>
      </c>
      <c r="G208" s="59">
        <f t="shared" si="6"/>
        <v>2108.7089999999998</v>
      </c>
      <c r="H208" s="59">
        <f t="shared" si="7"/>
        <v>0</v>
      </c>
      <c r="I208" s="60">
        <v>0</v>
      </c>
    </row>
    <row r="209" spans="1:9" x14ac:dyDescent="0.2">
      <c r="A209" s="57">
        <v>151</v>
      </c>
      <c r="B209" s="58">
        <f>PRRAS!C219</f>
        <v>208</v>
      </c>
      <c r="C209" s="58">
        <f>PRRAS!D219</f>
        <v>3675</v>
      </c>
      <c r="D209" s="58">
        <f>PRRAS!E219</f>
        <v>3256</v>
      </c>
      <c r="E209" s="58">
        <v>0</v>
      </c>
      <c r="F209" s="58">
        <v>0</v>
      </c>
      <c r="G209" s="59">
        <f t="shared" si="6"/>
        <v>2118.8959999999997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8999990</v>
      </c>
      <c r="D282" s="58">
        <f>PRRAS!E292</f>
        <v>9317115</v>
      </c>
      <c r="E282" s="58">
        <v>0</v>
      </c>
      <c r="F282" s="58">
        <v>0</v>
      </c>
      <c r="G282" s="59">
        <f t="shared" si="8"/>
        <v>7765215.8200000003</v>
      </c>
      <c r="H282" s="59">
        <f t="shared" si="9"/>
        <v>0</v>
      </c>
      <c r="I282" s="60">
        <v>0</v>
      </c>
    </row>
    <row r="283" spans="1:9" x14ac:dyDescent="0.2">
      <c r="A283" s="57">
        <v>151</v>
      </c>
      <c r="B283" s="58">
        <f>PRRAS!C293</f>
        <v>282</v>
      </c>
      <c r="C283" s="58">
        <f>PRRAS!D293</f>
        <v>97004</v>
      </c>
      <c r="D283" s="58">
        <f>PRRAS!E293</f>
        <v>188642</v>
      </c>
      <c r="E283" s="58">
        <v>0</v>
      </c>
      <c r="F283" s="58">
        <v>0</v>
      </c>
      <c r="G283" s="59">
        <f t="shared" si="8"/>
        <v>133749.21599999999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2215</v>
      </c>
      <c r="E285" s="58">
        <v>0</v>
      </c>
      <c r="F285" s="58">
        <v>0</v>
      </c>
      <c r="G285" s="59">
        <f t="shared" si="8"/>
        <v>1258.1199999999999</v>
      </c>
      <c r="H285" s="59">
        <f t="shared" si="9"/>
        <v>0</v>
      </c>
      <c r="I285" s="60">
        <v>0</v>
      </c>
    </row>
    <row r="286" spans="1:9" x14ac:dyDescent="0.2">
      <c r="A286" s="57">
        <v>151</v>
      </c>
      <c r="B286" s="58">
        <f>PRRAS!C296</f>
        <v>285</v>
      </c>
      <c r="C286" s="58">
        <f>PRRAS!D296</f>
        <v>17051</v>
      </c>
      <c r="D286" s="58">
        <f>PRRAS!E296</f>
        <v>0</v>
      </c>
      <c r="E286" s="58">
        <v>0</v>
      </c>
      <c r="F286" s="58">
        <v>0</v>
      </c>
      <c r="G286" s="59">
        <f t="shared" si="8"/>
        <v>4859.5349999999999</v>
      </c>
      <c r="H286" s="59">
        <f t="shared" si="9"/>
        <v>0</v>
      </c>
      <c r="I286" s="60">
        <v>0</v>
      </c>
    </row>
    <row r="287" spans="1:9" x14ac:dyDescent="0.2">
      <c r="A287" s="57">
        <v>151</v>
      </c>
      <c r="B287" s="58">
        <f>PRRAS!C297</f>
        <v>286</v>
      </c>
      <c r="C287" s="58">
        <f>PRRAS!D297</f>
        <v>288</v>
      </c>
      <c r="D287" s="58">
        <f>PRRAS!E297</f>
        <v>1152</v>
      </c>
      <c r="E287" s="58">
        <v>0</v>
      </c>
      <c r="F287" s="58">
        <v>0</v>
      </c>
      <c r="G287" s="59">
        <f t="shared" si="8"/>
        <v>741.3119999999999</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10742</v>
      </c>
      <c r="D289" s="58">
        <f>PRRAS!E299</f>
        <v>0</v>
      </c>
      <c r="E289" s="58">
        <v>0</v>
      </c>
      <c r="F289" s="58">
        <v>0</v>
      </c>
      <c r="G289" s="59">
        <f t="shared" si="8"/>
        <v>3093.6959999999999</v>
      </c>
      <c r="H289" s="59">
        <f t="shared" si="9"/>
        <v>0</v>
      </c>
      <c r="I289" s="60">
        <v>0</v>
      </c>
    </row>
    <row r="290" spans="1:9" x14ac:dyDescent="0.2">
      <c r="A290" s="57">
        <v>151</v>
      </c>
      <c r="B290" s="58">
        <f>PRRAS!C301</f>
        <v>289</v>
      </c>
      <c r="C290" s="58">
        <f>PRRAS!D301</f>
        <v>0</v>
      </c>
      <c r="D290" s="58">
        <f>PRRAS!E301</f>
        <v>273</v>
      </c>
      <c r="E290" s="58">
        <v>0</v>
      </c>
      <c r="F290" s="58">
        <v>0</v>
      </c>
      <c r="G290" s="59">
        <f t="shared" si="8"/>
        <v>157.79399999999998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273</v>
      </c>
      <c r="E303" s="58">
        <v>0</v>
      </c>
      <c r="F303" s="58">
        <v>0</v>
      </c>
      <c r="G303" s="59">
        <f t="shared" si="8"/>
        <v>164.892</v>
      </c>
      <c r="H303" s="59">
        <f t="shared" si="9"/>
        <v>0</v>
      </c>
      <c r="I303" s="60">
        <v>0</v>
      </c>
    </row>
    <row r="304" spans="1:9" x14ac:dyDescent="0.2">
      <c r="A304" s="57">
        <v>151</v>
      </c>
      <c r="B304" s="58">
        <f>PRRAS!C315</f>
        <v>303</v>
      </c>
      <c r="C304" s="58">
        <f>PRRAS!D315</f>
        <v>0</v>
      </c>
      <c r="D304" s="58">
        <f>PRRAS!E315</f>
        <v>273</v>
      </c>
      <c r="E304" s="58">
        <v>0</v>
      </c>
      <c r="F304" s="58">
        <v>0</v>
      </c>
      <c r="G304" s="59">
        <f t="shared" si="8"/>
        <v>165.43799999999999</v>
      </c>
      <c r="H304" s="59">
        <f t="shared" si="9"/>
        <v>0</v>
      </c>
      <c r="I304" s="60">
        <v>0</v>
      </c>
    </row>
    <row r="305" spans="1:9" x14ac:dyDescent="0.2">
      <c r="A305" s="57">
        <v>151</v>
      </c>
      <c r="B305" s="58">
        <f>PRRAS!C316</f>
        <v>304</v>
      </c>
      <c r="C305" s="58">
        <f>PRRAS!D316</f>
        <v>0</v>
      </c>
      <c r="D305" s="58">
        <f>PRRAS!E316</f>
        <v>273</v>
      </c>
      <c r="E305" s="58">
        <v>0</v>
      </c>
      <c r="F305" s="58">
        <v>0</v>
      </c>
      <c r="G305" s="59">
        <f t="shared" si="8"/>
        <v>165.98400000000001</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86187</v>
      </c>
      <c r="D342" s="58">
        <f>PRRAS!E353</f>
        <v>104588</v>
      </c>
      <c r="E342" s="58">
        <v>0</v>
      </c>
      <c r="F342" s="58">
        <v>0</v>
      </c>
      <c r="G342" s="59">
        <f t="shared" si="10"/>
        <v>100718.78300000001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86187</v>
      </c>
      <c r="D355" s="58">
        <f>PRRAS!E366</f>
        <v>104588</v>
      </c>
      <c r="E355" s="58">
        <v>0</v>
      </c>
      <c r="F355" s="58">
        <v>0</v>
      </c>
      <c r="G355" s="59">
        <f t="shared" si="10"/>
        <v>104558.50199999999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51980</v>
      </c>
      <c r="D361" s="58">
        <f>PRRAS!E372</f>
        <v>72620</v>
      </c>
      <c r="E361" s="58">
        <v>0</v>
      </c>
      <c r="F361" s="58">
        <v>0</v>
      </c>
      <c r="G361" s="59">
        <f t="shared" si="10"/>
        <v>70999.199999999997</v>
      </c>
      <c r="H361" s="59">
        <f t="shared" si="11"/>
        <v>0</v>
      </c>
      <c r="I361" s="60">
        <v>0</v>
      </c>
    </row>
    <row r="362" spans="1:9" x14ac:dyDescent="0.2">
      <c r="A362" s="57">
        <v>151</v>
      </c>
      <c r="B362" s="58">
        <f>PRRAS!C373</f>
        <v>361</v>
      </c>
      <c r="C362" s="58">
        <f>PRRAS!D373</f>
        <v>51980</v>
      </c>
      <c r="D362" s="58">
        <f>PRRAS!E373</f>
        <v>12995</v>
      </c>
      <c r="E362" s="58">
        <v>0</v>
      </c>
      <c r="F362" s="58">
        <v>0</v>
      </c>
      <c r="G362" s="59">
        <f t="shared" si="10"/>
        <v>28147.17</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59625</v>
      </c>
      <c r="E368" s="58">
        <v>0</v>
      </c>
      <c r="F368" s="58">
        <v>0</v>
      </c>
      <c r="G368" s="59">
        <f t="shared" si="10"/>
        <v>43764.75</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34207</v>
      </c>
      <c r="D375" s="58">
        <f>PRRAS!E386</f>
        <v>31968</v>
      </c>
      <c r="E375" s="58">
        <v>0</v>
      </c>
      <c r="F375" s="58">
        <v>0</v>
      </c>
      <c r="G375" s="59">
        <f t="shared" si="10"/>
        <v>36705.481999999996</v>
      </c>
      <c r="H375" s="59">
        <f t="shared" si="11"/>
        <v>0</v>
      </c>
      <c r="I375" s="60">
        <v>0</v>
      </c>
    </row>
    <row r="376" spans="1:9" x14ac:dyDescent="0.2">
      <c r="A376" s="57">
        <v>151</v>
      </c>
      <c r="B376" s="58">
        <f>PRRAS!C387</f>
        <v>375</v>
      </c>
      <c r="C376" s="58">
        <f>PRRAS!D387</f>
        <v>34207</v>
      </c>
      <c r="D376" s="58">
        <f>PRRAS!E387</f>
        <v>31968</v>
      </c>
      <c r="E376" s="58">
        <v>0</v>
      </c>
      <c r="F376" s="58">
        <v>0</v>
      </c>
      <c r="G376" s="59">
        <f t="shared" si="10"/>
        <v>36803.625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86187</v>
      </c>
      <c r="D400" s="58">
        <f>PRRAS!E411</f>
        <v>104315</v>
      </c>
      <c r="E400" s="58">
        <v>0</v>
      </c>
      <c r="F400" s="58">
        <v>0</v>
      </c>
      <c r="G400" s="59">
        <f t="shared" si="12"/>
        <v>117631.98300000001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9096994</v>
      </c>
      <c r="D404" s="58">
        <f>PRRAS!E415</f>
        <v>9506030</v>
      </c>
      <c r="E404" s="58">
        <v>0</v>
      </c>
      <c r="F404" s="58">
        <v>0</v>
      </c>
      <c r="G404" s="59">
        <f t="shared" si="12"/>
        <v>11327948.762</v>
      </c>
      <c r="H404" s="59">
        <f t="shared" si="13"/>
        <v>0</v>
      </c>
      <c r="I404" s="60">
        <v>0</v>
      </c>
    </row>
    <row r="405" spans="1:9" x14ac:dyDescent="0.2">
      <c r="A405" s="57">
        <v>151</v>
      </c>
      <c r="B405" s="58">
        <f>PRRAS!C416</f>
        <v>404</v>
      </c>
      <c r="C405" s="58">
        <f>PRRAS!D416</f>
        <v>9086177</v>
      </c>
      <c r="D405" s="58">
        <f>PRRAS!E416</f>
        <v>9421703</v>
      </c>
      <c r="E405" s="58">
        <v>0</v>
      </c>
      <c r="F405" s="58">
        <v>0</v>
      </c>
      <c r="G405" s="59">
        <f t="shared" si="12"/>
        <v>11283551.532000002</v>
      </c>
      <c r="H405" s="59">
        <f t="shared" si="13"/>
        <v>0</v>
      </c>
      <c r="I405" s="60">
        <v>0</v>
      </c>
    </row>
    <row r="406" spans="1:9" x14ac:dyDescent="0.2">
      <c r="A406" s="57">
        <v>151</v>
      </c>
      <c r="B406" s="58">
        <f>PRRAS!C417</f>
        <v>405</v>
      </c>
      <c r="C406" s="58">
        <f>PRRAS!D417</f>
        <v>10817</v>
      </c>
      <c r="D406" s="58">
        <f>PRRAS!E417</f>
        <v>84327</v>
      </c>
      <c r="E406" s="58">
        <v>0</v>
      </c>
      <c r="F406" s="58">
        <v>0</v>
      </c>
      <c r="G406" s="59">
        <f t="shared" si="12"/>
        <v>72685.755000000005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2215</v>
      </c>
      <c r="E408" s="58">
        <v>0</v>
      </c>
      <c r="F408" s="58">
        <v>0</v>
      </c>
      <c r="G408" s="59">
        <f t="shared" si="12"/>
        <v>1803.01</v>
      </c>
      <c r="H408" s="59">
        <f t="shared" si="13"/>
        <v>0</v>
      </c>
      <c r="I408" s="60">
        <v>0</v>
      </c>
    </row>
    <row r="409" spans="1:9" x14ac:dyDescent="0.2">
      <c r="A409" s="57">
        <v>151</v>
      </c>
      <c r="B409" s="58">
        <f>PRRAS!C420</f>
        <v>408</v>
      </c>
      <c r="C409" s="58">
        <f>PRRAS!D420</f>
        <v>17051</v>
      </c>
      <c r="D409" s="58">
        <f>PRRAS!E420</f>
        <v>0</v>
      </c>
      <c r="E409" s="58">
        <v>0</v>
      </c>
      <c r="F409" s="58">
        <v>0</v>
      </c>
      <c r="G409" s="59">
        <f t="shared" si="12"/>
        <v>6956.808</v>
      </c>
      <c r="H409" s="59">
        <f t="shared" si="13"/>
        <v>0</v>
      </c>
      <c r="I409" s="60">
        <v>0</v>
      </c>
    </row>
    <row r="410" spans="1:9" x14ac:dyDescent="0.2">
      <c r="A410" s="57">
        <v>151</v>
      </c>
      <c r="B410" s="58">
        <f>PRRAS!C421</f>
        <v>409</v>
      </c>
      <c r="C410" s="58">
        <f>PRRAS!D421</f>
        <v>288</v>
      </c>
      <c r="D410" s="58">
        <f>PRRAS!E421</f>
        <v>1152</v>
      </c>
      <c r="E410" s="58">
        <v>0</v>
      </c>
      <c r="F410" s="58">
        <v>0</v>
      </c>
      <c r="G410" s="59">
        <f t="shared" si="12"/>
        <v>1060.1279999999999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9096994</v>
      </c>
      <c r="D630" s="58">
        <f>PRRAS!E642</f>
        <v>9506030</v>
      </c>
      <c r="E630" s="58">
        <v>0</v>
      </c>
      <c r="F630" s="58">
        <v>0</v>
      </c>
      <c r="G630" s="59">
        <f t="shared" si="18"/>
        <v>17680594.966000002</v>
      </c>
      <c r="H630" s="59">
        <f t="shared" si="19"/>
        <v>0</v>
      </c>
      <c r="I630" s="60">
        <v>0</v>
      </c>
    </row>
    <row r="631" spans="1:9" x14ac:dyDescent="0.2">
      <c r="A631" s="57">
        <v>151</v>
      </c>
      <c r="B631" s="58">
        <f>PRRAS!C643</f>
        <v>630</v>
      </c>
      <c r="C631" s="58">
        <f>PRRAS!D643</f>
        <v>9086177</v>
      </c>
      <c r="D631" s="58">
        <f>PRRAS!E643</f>
        <v>9421703</v>
      </c>
      <c r="E631" s="58">
        <v>0</v>
      </c>
      <c r="F631" s="58">
        <v>0</v>
      </c>
      <c r="G631" s="59">
        <f t="shared" si="18"/>
        <v>17595637.289999999</v>
      </c>
      <c r="H631" s="59">
        <f t="shared" si="19"/>
        <v>0</v>
      </c>
      <c r="I631" s="60">
        <v>0</v>
      </c>
    </row>
    <row r="632" spans="1:9" x14ac:dyDescent="0.2">
      <c r="A632" s="57">
        <v>151</v>
      </c>
      <c r="B632" s="58">
        <f>PRRAS!C644</f>
        <v>631</v>
      </c>
      <c r="C632" s="58">
        <f>PRRAS!D644</f>
        <v>10817</v>
      </c>
      <c r="D632" s="58">
        <f>PRRAS!E644</f>
        <v>84327</v>
      </c>
      <c r="E632" s="58">
        <v>0</v>
      </c>
      <c r="F632" s="58">
        <v>0</v>
      </c>
      <c r="G632" s="59">
        <f t="shared" si="18"/>
        <v>113246.201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2215</v>
      </c>
      <c r="E634" s="58">
        <v>0</v>
      </c>
      <c r="F634" s="58">
        <v>0</v>
      </c>
      <c r="G634" s="59">
        <f t="shared" si="18"/>
        <v>2804.19</v>
      </c>
      <c r="H634" s="59">
        <f t="shared" si="19"/>
        <v>0</v>
      </c>
      <c r="I634" s="60">
        <v>0</v>
      </c>
    </row>
    <row r="635" spans="1:9" x14ac:dyDescent="0.2">
      <c r="A635" s="57">
        <v>151</v>
      </c>
      <c r="B635" s="58">
        <f>PRRAS!C647</f>
        <v>634</v>
      </c>
      <c r="C635" s="58">
        <f>PRRAS!D647</f>
        <v>17051</v>
      </c>
      <c r="D635" s="58">
        <f>PRRAS!E647</f>
        <v>0</v>
      </c>
      <c r="E635" s="58">
        <v>0</v>
      </c>
      <c r="F635" s="58">
        <v>0</v>
      </c>
      <c r="G635" s="59">
        <f t="shared" si="18"/>
        <v>10810.334000000001</v>
      </c>
      <c r="H635" s="59">
        <f t="shared" si="19"/>
        <v>0</v>
      </c>
      <c r="I635" s="60">
        <v>0</v>
      </c>
    </row>
    <row r="636" spans="1:9" x14ac:dyDescent="0.2">
      <c r="A636" s="57">
        <v>151</v>
      </c>
      <c r="B636" s="58">
        <f>PRRAS!C648</f>
        <v>635</v>
      </c>
      <c r="C636" s="58">
        <f>PRRAS!D648</f>
        <v>0</v>
      </c>
      <c r="D636" s="58">
        <f>PRRAS!E648</f>
        <v>86542</v>
      </c>
      <c r="E636" s="58">
        <v>0</v>
      </c>
      <c r="F636" s="58">
        <v>0</v>
      </c>
      <c r="G636" s="59">
        <f t="shared" si="18"/>
        <v>109908.34</v>
      </c>
      <c r="H636" s="59">
        <f t="shared" si="19"/>
        <v>0</v>
      </c>
      <c r="I636" s="60">
        <v>0</v>
      </c>
    </row>
    <row r="637" spans="1:9" x14ac:dyDescent="0.2">
      <c r="A637" s="57">
        <v>151</v>
      </c>
      <c r="B637" s="58">
        <f>PRRAS!C649</f>
        <v>636</v>
      </c>
      <c r="C637" s="58">
        <f>PRRAS!D649</f>
        <v>6234</v>
      </c>
      <c r="D637" s="58">
        <f>PRRAS!E649</f>
        <v>0</v>
      </c>
      <c r="E637" s="58">
        <v>0</v>
      </c>
      <c r="F637" s="58">
        <v>0</v>
      </c>
      <c r="G637" s="59">
        <f t="shared" si="18"/>
        <v>3964.8240000000001</v>
      </c>
      <c r="H637" s="59">
        <f t="shared" si="19"/>
        <v>0</v>
      </c>
      <c r="I637" s="60">
        <v>0</v>
      </c>
    </row>
    <row r="638" spans="1:9" x14ac:dyDescent="0.2">
      <c r="A638" s="57">
        <v>151</v>
      </c>
      <c r="B638" s="58">
        <f>PRRAS!C650</f>
        <v>637</v>
      </c>
      <c r="C638" s="58">
        <f>PRRAS!D650</f>
        <v>676459</v>
      </c>
      <c r="D638" s="58">
        <f>PRRAS!E650</f>
        <v>0</v>
      </c>
      <c r="E638" s="58">
        <v>0</v>
      </c>
      <c r="F638" s="58">
        <v>0</v>
      </c>
      <c r="G638" s="59">
        <f t="shared" si="18"/>
        <v>430904.38300000003</v>
      </c>
      <c r="H638" s="59">
        <f t="shared" si="19"/>
        <v>0</v>
      </c>
      <c r="I638" s="60">
        <v>0</v>
      </c>
    </row>
    <row r="639" spans="1:9" x14ac:dyDescent="0.2">
      <c r="A639" s="57">
        <v>151</v>
      </c>
      <c r="B639" s="58">
        <f>PRRAS!C652</f>
        <v>638</v>
      </c>
      <c r="C639" s="58">
        <f>PRRAS!D652</f>
        <v>60296</v>
      </c>
      <c r="D639" s="58">
        <f>PRRAS!E652</f>
        <v>63766</v>
      </c>
      <c r="E639" s="58">
        <v>0</v>
      </c>
      <c r="F639" s="58">
        <v>0</v>
      </c>
      <c r="G639" s="59">
        <f t="shared" si="18"/>
        <v>119834.264</v>
      </c>
      <c r="H639" s="59">
        <f t="shared" si="19"/>
        <v>0</v>
      </c>
      <c r="I639" s="60">
        <v>0</v>
      </c>
    </row>
    <row r="640" spans="1:9" x14ac:dyDescent="0.2">
      <c r="A640" s="57">
        <v>151</v>
      </c>
      <c r="B640" s="58">
        <f>PRRAS!C653</f>
        <v>639</v>
      </c>
      <c r="C640" s="58">
        <f>PRRAS!D653</f>
        <v>9886679</v>
      </c>
      <c r="D640" s="58">
        <f>PRRAS!E653</f>
        <v>8987874</v>
      </c>
      <c r="E640" s="58">
        <v>0</v>
      </c>
      <c r="F640" s="58">
        <v>0</v>
      </c>
      <c r="G640" s="59">
        <f t="shared" si="18"/>
        <v>17804090.853</v>
      </c>
      <c r="H640" s="59">
        <f t="shared" si="19"/>
        <v>0</v>
      </c>
      <c r="I640" s="60">
        <v>0</v>
      </c>
    </row>
    <row r="641" spans="1:9" x14ac:dyDescent="0.2">
      <c r="A641" s="57">
        <v>151</v>
      </c>
      <c r="B641" s="58">
        <f>PRRAS!C654</f>
        <v>640</v>
      </c>
      <c r="C641" s="58">
        <f>PRRAS!D654</f>
        <v>9883209</v>
      </c>
      <c r="D641" s="58">
        <f>PRRAS!E654</f>
        <v>8868232</v>
      </c>
      <c r="E641" s="58">
        <v>0</v>
      </c>
      <c r="F641" s="58">
        <v>0</v>
      </c>
      <c r="G641" s="59">
        <f t="shared" si="18"/>
        <v>17676590.719999999</v>
      </c>
      <c r="H641" s="59">
        <f t="shared" si="19"/>
        <v>0</v>
      </c>
      <c r="I641" s="60">
        <v>0</v>
      </c>
    </row>
    <row r="642" spans="1:9" x14ac:dyDescent="0.2">
      <c r="A642" s="57">
        <v>151</v>
      </c>
      <c r="B642" s="58">
        <f>PRRAS!C655</f>
        <v>641</v>
      </c>
      <c r="C642" s="58">
        <f>PRRAS!D655</f>
        <v>63766</v>
      </c>
      <c r="D642" s="58">
        <f>PRRAS!E655</f>
        <v>183408</v>
      </c>
      <c r="E642" s="58">
        <v>0</v>
      </c>
      <c r="F642" s="58">
        <v>0</v>
      </c>
      <c r="G642" s="59">
        <f t="shared" ref="G642:G705" si="20">(B642/1000)*(C642*1+D642*2)</f>
        <v>276003.06200000003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74</v>
      </c>
      <c r="D644" s="58">
        <f>PRRAS!E657</f>
        <v>74</v>
      </c>
      <c r="E644" s="58">
        <v>0</v>
      </c>
      <c r="F644" s="58">
        <v>0</v>
      </c>
      <c r="G644" s="59">
        <f t="shared" si="20"/>
        <v>142.74600000000001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65</v>
      </c>
      <c r="D646" s="58">
        <f>PRRAS!E659</f>
        <v>65</v>
      </c>
      <c r="E646" s="58">
        <v>0</v>
      </c>
      <c r="F646" s="58">
        <v>0</v>
      </c>
      <c r="G646" s="59">
        <f t="shared" si="20"/>
        <v>125.77500000000001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38865</v>
      </c>
      <c r="D659" s="58">
        <f>PRRAS!E672</f>
        <v>36441</v>
      </c>
      <c r="E659" s="58">
        <v>0</v>
      </c>
      <c r="F659" s="58">
        <v>0</v>
      </c>
      <c r="G659" s="59">
        <f t="shared" si="20"/>
        <v>73529.525999999998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8123603</v>
      </c>
      <c r="D665" s="58">
        <f>PRRAS!E678</f>
        <v>8437456</v>
      </c>
      <c r="E665" s="58">
        <v>0</v>
      </c>
      <c r="F665" s="58">
        <v>0</v>
      </c>
      <c r="G665" s="59">
        <f t="shared" si="20"/>
        <v>16599013.960000001</v>
      </c>
      <c r="H665" s="59">
        <f t="shared" si="21"/>
        <v>0</v>
      </c>
      <c r="I665" s="60">
        <v>0</v>
      </c>
    </row>
    <row r="666" spans="1:9" x14ac:dyDescent="0.2">
      <c r="A666" s="57">
        <v>151</v>
      </c>
      <c r="B666" s="58">
        <f>PRRAS!C679</f>
        <v>665</v>
      </c>
      <c r="C666" s="58">
        <f>PRRAS!D679</f>
        <v>2500</v>
      </c>
      <c r="D666" s="58">
        <f>PRRAS!E679</f>
        <v>6500</v>
      </c>
      <c r="E666" s="58">
        <v>0</v>
      </c>
      <c r="F666" s="58">
        <v>0</v>
      </c>
      <c r="G666" s="59">
        <f t="shared" si="20"/>
        <v>10307.5</v>
      </c>
      <c r="H666" s="59">
        <f t="shared" si="21"/>
        <v>0</v>
      </c>
      <c r="I666" s="60">
        <v>0</v>
      </c>
    </row>
    <row r="667" spans="1:9" x14ac:dyDescent="0.2">
      <c r="A667" s="57">
        <v>151</v>
      </c>
      <c r="B667" s="58">
        <f>PRRAS!C680</f>
        <v>666</v>
      </c>
      <c r="C667" s="58">
        <f>PRRAS!D680</f>
        <v>0</v>
      </c>
      <c r="D667" s="58">
        <f>PRRAS!E680</f>
        <v>115000</v>
      </c>
      <c r="E667" s="58">
        <v>0</v>
      </c>
      <c r="F667" s="58">
        <v>0</v>
      </c>
      <c r="G667" s="59">
        <f t="shared" si="20"/>
        <v>153180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63601</v>
      </c>
      <c r="D685" s="58">
        <f>PRRAS!E698</f>
        <v>95655</v>
      </c>
      <c r="E685" s="58">
        <v>0</v>
      </c>
      <c r="F685" s="58">
        <v>0</v>
      </c>
      <c r="G685" s="59">
        <f t="shared" si="20"/>
        <v>174359.12400000001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11976</v>
      </c>
      <c r="D688" s="58">
        <f>PRRAS!E701</f>
        <v>23952</v>
      </c>
      <c r="E688" s="58">
        <v>0</v>
      </c>
      <c r="F688" s="58">
        <v>0</v>
      </c>
      <c r="G688" s="59">
        <f t="shared" si="20"/>
        <v>41137.560000000005</v>
      </c>
      <c r="H688" s="59">
        <f t="shared" si="21"/>
        <v>0</v>
      </c>
      <c r="I688" s="60">
        <v>0</v>
      </c>
    </row>
    <row r="689" spans="1:9" x14ac:dyDescent="0.2">
      <c r="A689" s="57">
        <v>151</v>
      </c>
      <c r="B689" s="58">
        <f>PRRAS!C702</f>
        <v>688</v>
      </c>
      <c r="C689" s="58">
        <f>PRRAS!D702</f>
        <v>32765</v>
      </c>
      <c r="D689" s="58">
        <f>PRRAS!E702</f>
        <v>3655</v>
      </c>
      <c r="E689" s="58">
        <v>0</v>
      </c>
      <c r="F689" s="58">
        <v>0</v>
      </c>
      <c r="G689" s="59">
        <f t="shared" si="20"/>
        <v>27571.599999999999</v>
      </c>
      <c r="H689" s="59">
        <f t="shared" si="21"/>
        <v>0</v>
      </c>
      <c r="I689" s="60">
        <v>0</v>
      </c>
    </row>
    <row r="690" spans="1:9" x14ac:dyDescent="0.2">
      <c r="A690" s="57">
        <v>151</v>
      </c>
      <c r="B690" s="58">
        <f>PRRAS!C703</f>
        <v>689</v>
      </c>
      <c r="C690" s="58">
        <f>PRRAS!D703</f>
        <v>159817</v>
      </c>
      <c r="D690" s="58">
        <f>PRRAS!E703</f>
        <v>154166</v>
      </c>
      <c r="E690" s="58">
        <v>0</v>
      </c>
      <c r="F690" s="58">
        <v>0</v>
      </c>
      <c r="G690" s="59">
        <f t="shared" si="20"/>
        <v>322554.66099999996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18654</v>
      </c>
      <c r="D692" s="58">
        <f>PRRAS!E705</f>
        <v>12225</v>
      </c>
      <c r="E692" s="58">
        <v>0</v>
      </c>
      <c r="F692" s="58">
        <v>0</v>
      </c>
      <c r="G692" s="59">
        <f t="shared" si="20"/>
        <v>29784.863999999998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20635</v>
      </c>
      <c r="D694" s="58">
        <f>PRRAS!E707</f>
        <v>14243</v>
      </c>
      <c r="E694" s="58">
        <v>0</v>
      </c>
      <c r="F694" s="58">
        <v>0</v>
      </c>
      <c r="G694" s="59">
        <f t="shared" si="20"/>
        <v>34040.852999999996</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2837074</v>
      </c>
      <c r="D977" s="63">
        <f>Bil!E12</f>
        <v>2777934</v>
      </c>
      <c r="E977" s="63">
        <v>0</v>
      </c>
      <c r="F977" s="63">
        <v>0</v>
      </c>
      <c r="G977" s="64">
        <f t="shared" ref="G977:G1040" si="32">B977/1000*C977+B977/500*D977</f>
        <v>8392.9420000000009</v>
      </c>
      <c r="H977" s="64">
        <f t="shared" si="31"/>
        <v>0</v>
      </c>
      <c r="I977" s="65"/>
    </row>
    <row r="978" spans="1:9" x14ac:dyDescent="0.2">
      <c r="A978" s="57">
        <v>152</v>
      </c>
      <c r="B978" s="58">
        <f>Bil!C13</f>
        <v>2</v>
      </c>
      <c r="C978" s="58">
        <f>Bil!D13</f>
        <v>2080418</v>
      </c>
      <c r="D978" s="58">
        <f>Bil!E13</f>
        <v>1929811</v>
      </c>
      <c r="E978" s="58">
        <v>0</v>
      </c>
      <c r="F978" s="58">
        <v>0</v>
      </c>
      <c r="G978" s="59">
        <f t="shared" si="32"/>
        <v>11880.080000000002</v>
      </c>
      <c r="H978" s="59">
        <f t="shared" si="31"/>
        <v>0</v>
      </c>
      <c r="I978" s="60"/>
    </row>
    <row r="979" spans="1:9" x14ac:dyDescent="0.2">
      <c r="A979" s="57">
        <v>152</v>
      </c>
      <c r="B979" s="58">
        <f>Bil!C14</f>
        <v>3</v>
      </c>
      <c r="C979" s="58">
        <f>Bil!D14</f>
        <v>213455</v>
      </c>
      <c r="D979" s="58">
        <f>Bil!E14</f>
        <v>213456</v>
      </c>
      <c r="E979" s="58">
        <v>0</v>
      </c>
      <c r="F979" s="58">
        <v>0</v>
      </c>
      <c r="G979" s="59">
        <f t="shared" si="32"/>
        <v>1921.1010000000001</v>
      </c>
      <c r="H979" s="59">
        <f t="shared" si="31"/>
        <v>0</v>
      </c>
      <c r="I979" s="60"/>
    </row>
    <row r="980" spans="1:9" x14ac:dyDescent="0.2">
      <c r="A980" s="57">
        <v>152</v>
      </c>
      <c r="B980" s="58">
        <f>Bil!C15</f>
        <v>4</v>
      </c>
      <c r="C980" s="58">
        <f>Bil!D15</f>
        <v>199415</v>
      </c>
      <c r="D980" s="58">
        <f>Bil!E15</f>
        <v>199416</v>
      </c>
      <c r="E980" s="58">
        <v>0</v>
      </c>
      <c r="F980" s="58">
        <v>0</v>
      </c>
      <c r="G980" s="59">
        <f t="shared" si="32"/>
        <v>2392.9879999999998</v>
      </c>
      <c r="H980" s="59">
        <f t="shared" si="31"/>
        <v>0</v>
      </c>
      <c r="I980" s="60"/>
    </row>
    <row r="981" spans="1:9" x14ac:dyDescent="0.2">
      <c r="A981" s="57">
        <v>152</v>
      </c>
      <c r="B981" s="58">
        <f>Bil!C16</f>
        <v>5</v>
      </c>
      <c r="C981" s="58">
        <f>Bil!D16</f>
        <v>15600</v>
      </c>
      <c r="D981" s="58">
        <f>Bil!E16</f>
        <v>15600</v>
      </c>
      <c r="E981" s="58">
        <v>0</v>
      </c>
      <c r="F981" s="58">
        <v>0</v>
      </c>
      <c r="G981" s="59">
        <f t="shared" si="32"/>
        <v>234</v>
      </c>
      <c r="H981" s="59">
        <f t="shared" si="31"/>
        <v>0</v>
      </c>
      <c r="I981" s="60"/>
    </row>
    <row r="982" spans="1:9" x14ac:dyDescent="0.2">
      <c r="A982" s="57">
        <v>152</v>
      </c>
      <c r="B982" s="58">
        <f>Bil!C17</f>
        <v>6</v>
      </c>
      <c r="C982" s="58">
        <f>Bil!D17</f>
        <v>1560</v>
      </c>
      <c r="D982" s="58">
        <f>Bil!E17</f>
        <v>1560</v>
      </c>
      <c r="E982" s="58">
        <v>0</v>
      </c>
      <c r="F982" s="58">
        <v>0</v>
      </c>
      <c r="G982" s="59">
        <f t="shared" si="32"/>
        <v>28.08</v>
      </c>
      <c r="H982" s="59">
        <f t="shared" si="31"/>
        <v>0</v>
      </c>
      <c r="I982" s="60"/>
    </row>
    <row r="983" spans="1:9" x14ac:dyDescent="0.2">
      <c r="A983" s="57">
        <v>152</v>
      </c>
      <c r="B983" s="58">
        <f>Bil!C18</f>
        <v>7</v>
      </c>
      <c r="C983" s="58">
        <f>Bil!D18</f>
        <v>1866963</v>
      </c>
      <c r="D983" s="58">
        <f>Bil!E18</f>
        <v>1716355</v>
      </c>
      <c r="E983" s="58">
        <v>0</v>
      </c>
      <c r="F983" s="58">
        <v>0</v>
      </c>
      <c r="G983" s="59">
        <f t="shared" si="32"/>
        <v>37097.711000000003</v>
      </c>
      <c r="H983" s="59">
        <f t="shared" si="31"/>
        <v>0</v>
      </c>
      <c r="I983" s="60"/>
    </row>
    <row r="984" spans="1:9" x14ac:dyDescent="0.2">
      <c r="A984" s="57">
        <v>152</v>
      </c>
      <c r="B984" s="58">
        <f>Bil!C19</f>
        <v>8</v>
      </c>
      <c r="C984" s="58">
        <f>Bil!D19</f>
        <v>1338805</v>
      </c>
      <c r="D984" s="58">
        <f>Bil!E19</f>
        <v>1302528</v>
      </c>
      <c r="E984" s="58">
        <v>0</v>
      </c>
      <c r="F984" s="58">
        <v>0</v>
      </c>
      <c r="G984" s="59">
        <f t="shared" si="32"/>
        <v>31550.887999999999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2902143</v>
      </c>
      <c r="D986" s="58">
        <f>Bil!E21</f>
        <v>2902143</v>
      </c>
      <c r="E986" s="58">
        <v>0</v>
      </c>
      <c r="F986" s="58">
        <v>0</v>
      </c>
      <c r="G986" s="59">
        <f t="shared" si="32"/>
        <v>87064.290000000008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1563338</v>
      </c>
      <c r="D989" s="58">
        <f>Bil!E24</f>
        <v>1599615</v>
      </c>
      <c r="E989" s="58">
        <v>0</v>
      </c>
      <c r="F989" s="58">
        <v>0</v>
      </c>
      <c r="G989" s="59">
        <f t="shared" si="32"/>
        <v>61913.383999999998</v>
      </c>
      <c r="H989" s="59">
        <f t="shared" si="31"/>
        <v>0</v>
      </c>
      <c r="I989" s="60"/>
    </row>
    <row r="990" spans="1:9" x14ac:dyDescent="0.2">
      <c r="A990" s="57">
        <v>152</v>
      </c>
      <c r="B990" s="58">
        <f>Bil!C25</f>
        <v>14</v>
      </c>
      <c r="C990" s="58">
        <f>Bil!D25</f>
        <v>81414</v>
      </c>
      <c r="D990" s="58">
        <f>Bil!E25</f>
        <v>123672</v>
      </c>
      <c r="E990" s="58">
        <v>0</v>
      </c>
      <c r="F990" s="58">
        <v>0</v>
      </c>
      <c r="G990" s="59">
        <f t="shared" si="32"/>
        <v>4602.6120000000001</v>
      </c>
      <c r="H990" s="59">
        <f t="shared" si="31"/>
        <v>0</v>
      </c>
      <c r="I990" s="60"/>
    </row>
    <row r="991" spans="1:9" x14ac:dyDescent="0.2">
      <c r="A991" s="57">
        <v>152</v>
      </c>
      <c r="B991" s="58">
        <f>Bil!C26</f>
        <v>15</v>
      </c>
      <c r="C991" s="58">
        <f>Bil!D26</f>
        <v>1039088</v>
      </c>
      <c r="D991" s="58">
        <f>Bil!E26</f>
        <v>938181</v>
      </c>
      <c r="E991" s="58">
        <v>0</v>
      </c>
      <c r="F991" s="58">
        <v>0</v>
      </c>
      <c r="G991" s="59">
        <f t="shared" si="32"/>
        <v>43731.75</v>
      </c>
      <c r="H991" s="59">
        <f t="shared" si="31"/>
        <v>0</v>
      </c>
      <c r="I991" s="60"/>
    </row>
    <row r="992" spans="1:9" x14ac:dyDescent="0.2">
      <c r="A992" s="57">
        <v>152</v>
      </c>
      <c r="B992" s="58">
        <f>Bil!C27</f>
        <v>16</v>
      </c>
      <c r="C992" s="58">
        <f>Bil!D27</f>
        <v>89662</v>
      </c>
      <c r="D992" s="58">
        <f>Bil!E27</f>
        <v>85076</v>
      </c>
      <c r="E992" s="58">
        <v>0</v>
      </c>
      <c r="F992" s="58">
        <v>0</v>
      </c>
      <c r="G992" s="59">
        <f t="shared" si="32"/>
        <v>4157.0240000000003</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22429</v>
      </c>
      <c r="D996" s="58">
        <f>Bil!E31</f>
        <v>22429</v>
      </c>
      <c r="E996" s="58">
        <v>0</v>
      </c>
      <c r="F996" s="58">
        <v>0</v>
      </c>
      <c r="G996" s="59">
        <f t="shared" si="32"/>
        <v>1345.74</v>
      </c>
      <c r="H996" s="59">
        <f t="shared" si="31"/>
        <v>0</v>
      </c>
      <c r="I996" s="60"/>
    </row>
    <row r="997" spans="1:9" x14ac:dyDescent="0.2">
      <c r="A997" s="57">
        <v>152</v>
      </c>
      <c r="B997" s="58">
        <f>Bil!C32</f>
        <v>21</v>
      </c>
      <c r="C997" s="58">
        <f>Bil!D32</f>
        <v>195667</v>
      </c>
      <c r="D997" s="58">
        <f>Bil!E32</f>
        <v>249493</v>
      </c>
      <c r="E997" s="58">
        <v>0</v>
      </c>
      <c r="F997" s="58">
        <v>0</v>
      </c>
      <c r="G997" s="59">
        <f t="shared" si="32"/>
        <v>14587.713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1265432</v>
      </c>
      <c r="D999" s="58">
        <f>Bil!E34</f>
        <v>1171507</v>
      </c>
      <c r="E999" s="58">
        <v>0</v>
      </c>
      <c r="F999" s="58">
        <v>0</v>
      </c>
      <c r="G999" s="59">
        <f t="shared" si="32"/>
        <v>82994.258000000002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446744</v>
      </c>
      <c r="D1006" s="58">
        <f>Bil!E41</f>
        <v>290155</v>
      </c>
      <c r="E1006" s="58">
        <v>0</v>
      </c>
      <c r="F1006" s="58">
        <v>0</v>
      </c>
      <c r="G1006" s="59">
        <f t="shared" si="32"/>
        <v>30811.62</v>
      </c>
      <c r="H1006" s="59">
        <f t="shared" si="31"/>
        <v>0</v>
      </c>
      <c r="I1006" s="60"/>
    </row>
    <row r="1007" spans="1:9" x14ac:dyDescent="0.2">
      <c r="A1007" s="57">
        <v>152</v>
      </c>
      <c r="B1007" s="58">
        <f>Bil!C42</f>
        <v>31</v>
      </c>
      <c r="C1007" s="58">
        <f>Bil!D42</f>
        <v>910823</v>
      </c>
      <c r="D1007" s="58">
        <f>Bil!E42</f>
        <v>942792</v>
      </c>
      <c r="E1007" s="58">
        <v>0</v>
      </c>
      <c r="F1007" s="58">
        <v>0</v>
      </c>
      <c r="G1007" s="59">
        <f t="shared" si="32"/>
        <v>86688.616999999998</v>
      </c>
      <c r="H1007" s="59">
        <f t="shared" si="31"/>
        <v>0</v>
      </c>
      <c r="I1007" s="60"/>
    </row>
    <row r="1008" spans="1:9" x14ac:dyDescent="0.2">
      <c r="A1008" s="57">
        <v>152</v>
      </c>
      <c r="B1008" s="58">
        <f>Bil!C43</f>
        <v>32</v>
      </c>
      <c r="C1008" s="58">
        <f>Bil!D43</f>
        <v>55732</v>
      </c>
      <c r="D1008" s="58">
        <f>Bil!E43</f>
        <v>55732</v>
      </c>
      <c r="E1008" s="58">
        <v>0</v>
      </c>
      <c r="F1008" s="58">
        <v>0</v>
      </c>
      <c r="G1008" s="59">
        <f t="shared" si="32"/>
        <v>5350.2719999999999</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519811</v>
      </c>
      <c r="D1011" s="58">
        <f>Bil!E46</f>
        <v>708369</v>
      </c>
      <c r="E1011" s="58">
        <v>0</v>
      </c>
      <c r="F1011" s="58">
        <v>0</v>
      </c>
      <c r="G1011" s="59">
        <f t="shared" si="32"/>
        <v>67779.214999999997</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261895</v>
      </c>
      <c r="D1025" s="58">
        <f>Bil!E60</f>
        <v>275708</v>
      </c>
      <c r="E1025" s="58">
        <v>0</v>
      </c>
      <c r="F1025" s="58">
        <v>0</v>
      </c>
      <c r="G1025" s="59">
        <f t="shared" si="32"/>
        <v>39852.239000000001</v>
      </c>
      <c r="H1025" s="59">
        <f t="shared" si="31"/>
        <v>0</v>
      </c>
      <c r="I1025" s="60"/>
    </row>
    <row r="1026" spans="1:9" x14ac:dyDescent="0.2">
      <c r="A1026" s="57">
        <v>152</v>
      </c>
      <c r="B1026" s="58">
        <f>Bil!C61</f>
        <v>50</v>
      </c>
      <c r="C1026" s="58">
        <f>Bil!D61</f>
        <v>261895</v>
      </c>
      <c r="D1026" s="58">
        <f>Bil!E61</f>
        <v>275708</v>
      </c>
      <c r="E1026" s="58">
        <v>0</v>
      </c>
      <c r="F1026" s="58">
        <v>0</v>
      </c>
      <c r="G1026" s="59">
        <f t="shared" si="32"/>
        <v>40665.550000000003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756656</v>
      </c>
      <c r="D1039" s="58">
        <f>Bil!E74</f>
        <v>848123</v>
      </c>
      <c r="E1039" s="58">
        <v>0</v>
      </c>
      <c r="F1039" s="58">
        <v>0</v>
      </c>
      <c r="G1039" s="59">
        <f t="shared" si="32"/>
        <v>154532.826</v>
      </c>
      <c r="H1039" s="59">
        <f t="shared" si="33"/>
        <v>0</v>
      </c>
      <c r="I1039" s="60"/>
    </row>
    <row r="1040" spans="1:9" x14ac:dyDescent="0.2">
      <c r="A1040" s="57">
        <v>152</v>
      </c>
      <c r="B1040" s="58">
        <f>Bil!C75</f>
        <v>64</v>
      </c>
      <c r="C1040" s="58">
        <f>Bil!D75</f>
        <v>63766</v>
      </c>
      <c r="D1040" s="58">
        <f>Bil!E75</f>
        <v>183409</v>
      </c>
      <c r="E1040" s="58">
        <v>0</v>
      </c>
      <c r="F1040" s="58">
        <v>0</v>
      </c>
      <c r="G1040" s="59">
        <f t="shared" si="32"/>
        <v>27557.376</v>
      </c>
      <c r="H1040" s="59">
        <f t="shared" si="33"/>
        <v>0</v>
      </c>
      <c r="I1040" s="60"/>
    </row>
    <row r="1041" spans="1:9" x14ac:dyDescent="0.2">
      <c r="A1041" s="57">
        <v>152</v>
      </c>
      <c r="B1041" s="58">
        <f>Bil!C76</f>
        <v>65</v>
      </c>
      <c r="C1041" s="58">
        <f>Bil!D76</f>
        <v>63465</v>
      </c>
      <c r="D1041" s="58">
        <f>Bil!E76</f>
        <v>182490</v>
      </c>
      <c r="E1041" s="58">
        <v>0</v>
      </c>
      <c r="F1041" s="58">
        <v>0</v>
      </c>
      <c r="G1041" s="59">
        <f t="shared" ref="G1041:G1104" si="34">B1041/1000*C1041+B1041/500*D1041</f>
        <v>27848.925000000003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63465</v>
      </c>
      <c r="D1043" s="58">
        <f>Bil!E78</f>
        <v>182490</v>
      </c>
      <c r="E1043" s="58">
        <v>0</v>
      </c>
      <c r="F1043" s="58">
        <v>0</v>
      </c>
      <c r="G1043" s="59">
        <f t="shared" si="34"/>
        <v>28705.815000000002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301</v>
      </c>
      <c r="D1047" s="58">
        <f>Bil!E82</f>
        <v>919</v>
      </c>
      <c r="E1047" s="58">
        <v>0</v>
      </c>
      <c r="F1047" s="58">
        <v>0</v>
      </c>
      <c r="G1047" s="59">
        <f t="shared" si="34"/>
        <v>151.869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10742</v>
      </c>
      <c r="D1049" s="58">
        <f>Bil!E84</f>
        <v>1961</v>
      </c>
      <c r="E1049" s="58">
        <v>0</v>
      </c>
      <c r="F1049" s="58">
        <v>0</v>
      </c>
      <c r="G1049" s="59">
        <f t="shared" si="34"/>
        <v>1070.472</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10742</v>
      </c>
      <c r="D1056" s="58">
        <f>Bil!E91</f>
        <v>1961</v>
      </c>
      <c r="E1056" s="58">
        <v>0</v>
      </c>
      <c r="F1056" s="58">
        <v>0</v>
      </c>
      <c r="G1056" s="59">
        <f t="shared" si="34"/>
        <v>1173.1199999999999</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288</v>
      </c>
      <c r="D1116" s="58">
        <f>Bil!E151</f>
        <v>1152</v>
      </c>
      <c r="E1116" s="58">
        <v>0</v>
      </c>
      <c r="F1116" s="58">
        <v>0</v>
      </c>
      <c r="G1116" s="59">
        <f t="shared" si="36"/>
        <v>362.88000000000005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288</v>
      </c>
      <c r="D1128" s="58">
        <f>Bil!E163</f>
        <v>1152</v>
      </c>
      <c r="E1128" s="58">
        <v>0</v>
      </c>
      <c r="F1128" s="58">
        <v>0</v>
      </c>
      <c r="G1128" s="59">
        <f t="shared" si="36"/>
        <v>393.98399999999998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5401</v>
      </c>
      <c r="D1133" s="58">
        <f>Bil!E168</f>
        <v>238</v>
      </c>
      <c r="E1133" s="58">
        <v>0</v>
      </c>
      <c r="F1133" s="58">
        <v>0</v>
      </c>
      <c r="G1133" s="59">
        <f t="shared" si="36"/>
        <v>922.68899999999996</v>
      </c>
      <c r="H1133" s="59">
        <f t="shared" si="35"/>
        <v>0</v>
      </c>
      <c r="I1133" s="60"/>
    </row>
    <row r="1134" spans="1:9" x14ac:dyDescent="0.2">
      <c r="A1134" s="57">
        <v>152</v>
      </c>
      <c r="B1134" s="58">
        <f>Bil!C169</f>
        <v>158</v>
      </c>
      <c r="C1134" s="58">
        <f>Bil!D169</f>
        <v>676459</v>
      </c>
      <c r="D1134" s="58">
        <f>Bil!E169</f>
        <v>661363</v>
      </c>
      <c r="E1134" s="58">
        <v>0</v>
      </c>
      <c r="F1134" s="58">
        <v>0</v>
      </c>
      <c r="G1134" s="59">
        <f t="shared" si="36"/>
        <v>315871.23</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676459</v>
      </c>
      <c r="D1137" s="58">
        <f>Bil!E172</f>
        <v>661363</v>
      </c>
      <c r="E1137" s="58">
        <v>0</v>
      </c>
      <c r="F1137" s="58">
        <v>0</v>
      </c>
      <c r="G1137" s="59">
        <f t="shared" si="36"/>
        <v>321868.78500000003</v>
      </c>
      <c r="H1137" s="59">
        <f t="shared" si="35"/>
        <v>0</v>
      </c>
      <c r="I1137" s="60"/>
    </row>
    <row r="1138" spans="1:9" x14ac:dyDescent="0.2">
      <c r="A1138" s="57">
        <v>152</v>
      </c>
      <c r="B1138" s="58">
        <f>Bil!C173</f>
        <v>162</v>
      </c>
      <c r="C1138" s="58">
        <f>Bil!D173</f>
        <v>2837075</v>
      </c>
      <c r="D1138" s="58">
        <f>Bil!E173</f>
        <v>2777934</v>
      </c>
      <c r="E1138" s="58">
        <v>0</v>
      </c>
      <c r="F1138" s="58">
        <v>0</v>
      </c>
      <c r="G1138" s="59">
        <f t="shared" si="36"/>
        <v>1359656.7660000001</v>
      </c>
      <c r="H1138" s="59">
        <f t="shared" si="35"/>
        <v>0</v>
      </c>
      <c r="I1138" s="60"/>
    </row>
    <row r="1139" spans="1:9" x14ac:dyDescent="0.2">
      <c r="A1139" s="57">
        <v>152</v>
      </c>
      <c r="B1139" s="58">
        <f>Bil!C174</f>
        <v>163</v>
      </c>
      <c r="C1139" s="58">
        <f>Bil!D174</f>
        <v>757201</v>
      </c>
      <c r="D1139" s="58">
        <f>Bil!E174</f>
        <v>760192</v>
      </c>
      <c r="E1139" s="58">
        <v>0</v>
      </c>
      <c r="F1139" s="58">
        <v>0</v>
      </c>
      <c r="G1139" s="59">
        <f t="shared" si="36"/>
        <v>371246.35499999998</v>
      </c>
      <c r="H1139" s="59">
        <f t="shared" si="35"/>
        <v>0</v>
      </c>
      <c r="I1139" s="60"/>
    </row>
    <row r="1140" spans="1:9" x14ac:dyDescent="0.2">
      <c r="A1140" s="57">
        <v>152</v>
      </c>
      <c r="B1140" s="58">
        <f>Bil!C175</f>
        <v>164</v>
      </c>
      <c r="C1140" s="58">
        <f>Bil!D175</f>
        <v>757201</v>
      </c>
      <c r="D1140" s="58">
        <f>Bil!E175</f>
        <v>735692</v>
      </c>
      <c r="E1140" s="58">
        <v>0</v>
      </c>
      <c r="F1140" s="58">
        <v>0</v>
      </c>
      <c r="G1140" s="59">
        <f t="shared" si="36"/>
        <v>365487.94000000006</v>
      </c>
      <c r="H1140" s="59">
        <f t="shared" si="35"/>
        <v>0</v>
      </c>
      <c r="I1140" s="60"/>
    </row>
    <row r="1141" spans="1:9" x14ac:dyDescent="0.2">
      <c r="A1141" s="57">
        <v>152</v>
      </c>
      <c r="B1141" s="58">
        <f>Bil!C176</f>
        <v>165</v>
      </c>
      <c r="C1141" s="58">
        <f>Bil!D176</f>
        <v>674493</v>
      </c>
      <c r="D1141" s="58">
        <f>Bil!E176</f>
        <v>661363</v>
      </c>
      <c r="E1141" s="58">
        <v>0</v>
      </c>
      <c r="F1141" s="58">
        <v>0</v>
      </c>
      <c r="G1141" s="59">
        <f t="shared" si="36"/>
        <v>329541.13500000001</v>
      </c>
      <c r="H1141" s="59">
        <f t="shared" si="35"/>
        <v>0</v>
      </c>
      <c r="I1141" s="60"/>
    </row>
    <row r="1142" spans="1:9" x14ac:dyDescent="0.2">
      <c r="A1142" s="57">
        <v>152</v>
      </c>
      <c r="B1142" s="58">
        <f>Bil!C177</f>
        <v>166</v>
      </c>
      <c r="C1142" s="58">
        <f>Bil!D177</f>
        <v>71799</v>
      </c>
      <c r="D1142" s="58">
        <f>Bil!E177</f>
        <v>72368</v>
      </c>
      <c r="E1142" s="58">
        <v>0</v>
      </c>
      <c r="F1142" s="58">
        <v>0</v>
      </c>
      <c r="G1142" s="59">
        <f t="shared" si="36"/>
        <v>35944.81</v>
      </c>
      <c r="H1142" s="59">
        <f t="shared" si="35"/>
        <v>0</v>
      </c>
      <c r="I1142" s="60"/>
    </row>
    <row r="1143" spans="1:9" x14ac:dyDescent="0.2">
      <c r="A1143" s="57">
        <v>152</v>
      </c>
      <c r="B1143" s="58">
        <f>Bil!C178</f>
        <v>167</v>
      </c>
      <c r="C1143" s="58">
        <f>Bil!D178</f>
        <v>167</v>
      </c>
      <c r="D1143" s="58">
        <f>Bil!E178</f>
        <v>0</v>
      </c>
      <c r="E1143" s="58">
        <v>0</v>
      </c>
      <c r="F1143" s="58">
        <v>0</v>
      </c>
      <c r="G1143" s="59">
        <f t="shared" si="36"/>
        <v>27.889000000000003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167</v>
      </c>
      <c r="D1146" s="58">
        <f>Bil!E181</f>
        <v>0</v>
      </c>
      <c r="E1146" s="58">
        <v>0</v>
      </c>
      <c r="F1146" s="58">
        <v>0</v>
      </c>
      <c r="G1146" s="59">
        <f t="shared" si="36"/>
        <v>28.39</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10742</v>
      </c>
      <c r="D1150" s="58">
        <f>Bil!E185</f>
        <v>1961</v>
      </c>
      <c r="E1150" s="58">
        <v>0</v>
      </c>
      <c r="F1150" s="58">
        <v>0</v>
      </c>
      <c r="G1150" s="59">
        <f t="shared" si="36"/>
        <v>2551.5360000000001</v>
      </c>
      <c r="H1150" s="59">
        <f t="shared" si="35"/>
        <v>0</v>
      </c>
      <c r="I1150" s="60"/>
    </row>
    <row r="1151" spans="1:9" x14ac:dyDescent="0.2">
      <c r="A1151" s="57">
        <v>152</v>
      </c>
      <c r="B1151" s="58">
        <f>Bil!C186</f>
        <v>175</v>
      </c>
      <c r="C1151" s="58">
        <f>Bil!D186</f>
        <v>0</v>
      </c>
      <c r="D1151" s="58">
        <f>Bil!E186</f>
        <v>24500</v>
      </c>
      <c r="E1151" s="58">
        <v>0</v>
      </c>
      <c r="F1151" s="58">
        <v>0</v>
      </c>
      <c r="G1151" s="59">
        <f t="shared" si="36"/>
        <v>8575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2079874</v>
      </c>
      <c r="D1199" s="58">
        <f>Bil!E234</f>
        <v>2017742</v>
      </c>
      <c r="E1199" s="58">
        <v>0</v>
      </c>
      <c r="F1199" s="58">
        <v>0</v>
      </c>
      <c r="G1199" s="59">
        <f t="shared" si="38"/>
        <v>1363724.834</v>
      </c>
      <c r="H1199" s="59">
        <f t="shared" si="37"/>
        <v>0</v>
      </c>
      <c r="I1199" s="60"/>
    </row>
    <row r="1200" spans="1:9" x14ac:dyDescent="0.2">
      <c r="A1200" s="57">
        <v>152</v>
      </c>
      <c r="B1200" s="58">
        <f>Bil!C235</f>
        <v>224</v>
      </c>
      <c r="C1200" s="58">
        <f>Bil!D235</f>
        <v>2080419</v>
      </c>
      <c r="D1200" s="58">
        <f>Bil!E235</f>
        <v>1929811</v>
      </c>
      <c r="E1200" s="58">
        <v>0</v>
      </c>
      <c r="F1200" s="58">
        <v>0</v>
      </c>
      <c r="G1200" s="59">
        <f t="shared" si="38"/>
        <v>1330569.1839999999</v>
      </c>
      <c r="H1200" s="59">
        <f t="shared" si="37"/>
        <v>0</v>
      </c>
      <c r="I1200" s="60"/>
    </row>
    <row r="1201" spans="1:9" x14ac:dyDescent="0.2">
      <c r="A1201" s="57">
        <v>152</v>
      </c>
      <c r="B1201" s="58">
        <f>Bil!C236</f>
        <v>225</v>
      </c>
      <c r="C1201" s="58">
        <f>Bil!D236</f>
        <v>2080419</v>
      </c>
      <c r="D1201" s="58">
        <f>Bil!E236</f>
        <v>1929811</v>
      </c>
      <c r="E1201" s="58">
        <v>0</v>
      </c>
      <c r="F1201" s="58">
        <v>0</v>
      </c>
      <c r="G1201" s="59">
        <f t="shared" si="38"/>
        <v>1336509.2250000001</v>
      </c>
      <c r="H1201" s="59">
        <f t="shared" si="37"/>
        <v>0</v>
      </c>
      <c r="I1201" s="60"/>
    </row>
    <row r="1202" spans="1:9" x14ac:dyDescent="0.2">
      <c r="A1202" s="57">
        <v>152</v>
      </c>
      <c r="B1202" s="58">
        <f>Bil!C237</f>
        <v>226</v>
      </c>
      <c r="C1202" s="58">
        <f>Bil!D237</f>
        <v>2066379</v>
      </c>
      <c r="D1202" s="58">
        <f>Bil!E237</f>
        <v>1915771</v>
      </c>
      <c r="E1202" s="58">
        <v>0</v>
      </c>
      <c r="F1202" s="58">
        <v>0</v>
      </c>
      <c r="G1202" s="59">
        <f t="shared" si="38"/>
        <v>1332930.1459999999</v>
      </c>
      <c r="H1202" s="59">
        <f t="shared" si="37"/>
        <v>0</v>
      </c>
      <c r="I1202" s="60"/>
    </row>
    <row r="1203" spans="1:9" x14ac:dyDescent="0.2">
      <c r="A1203" s="57">
        <v>152</v>
      </c>
      <c r="B1203" s="58">
        <f>Bil!C238</f>
        <v>227</v>
      </c>
      <c r="C1203" s="58">
        <f>Bil!D238</f>
        <v>14040</v>
      </c>
      <c r="D1203" s="58">
        <f>Bil!E238</f>
        <v>14040</v>
      </c>
      <c r="E1203" s="58">
        <v>0</v>
      </c>
      <c r="F1203" s="58">
        <v>0</v>
      </c>
      <c r="G1203" s="59">
        <f t="shared" si="38"/>
        <v>9561.24</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97003</v>
      </c>
      <c r="D1208" s="58">
        <f>Bil!E243</f>
        <v>190857</v>
      </c>
      <c r="E1208" s="58">
        <v>0</v>
      </c>
      <c r="F1208" s="58">
        <v>0</v>
      </c>
      <c r="G1208" s="59">
        <f t="shared" si="38"/>
        <v>111062.344</v>
      </c>
      <c r="H1208" s="59">
        <f t="shared" si="37"/>
        <v>0</v>
      </c>
      <c r="I1208" s="60"/>
    </row>
    <row r="1209" spans="1:9" x14ac:dyDescent="0.2">
      <c r="A1209" s="57">
        <v>152</v>
      </c>
      <c r="B1209" s="58">
        <f>Bil!C244</f>
        <v>233</v>
      </c>
      <c r="C1209" s="58">
        <f>Bil!D244</f>
        <v>97003</v>
      </c>
      <c r="D1209" s="58">
        <f>Bil!E244</f>
        <v>190857</v>
      </c>
      <c r="E1209" s="58">
        <v>0</v>
      </c>
      <c r="F1209" s="58">
        <v>0</v>
      </c>
      <c r="G1209" s="59">
        <f t="shared" si="38"/>
        <v>111541.06100000002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103237</v>
      </c>
      <c r="D1212" s="58">
        <f>Bil!E247</f>
        <v>104316</v>
      </c>
      <c r="E1212" s="58">
        <v>0</v>
      </c>
      <c r="F1212" s="58">
        <v>0</v>
      </c>
      <c r="G1212" s="59">
        <f t="shared" si="38"/>
        <v>73601.083999999988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103237</v>
      </c>
      <c r="D1214" s="58">
        <f>Bil!E249</f>
        <v>104316</v>
      </c>
      <c r="E1214" s="58">
        <v>0</v>
      </c>
      <c r="F1214" s="58">
        <v>0</v>
      </c>
      <c r="G1214" s="59">
        <f t="shared" si="38"/>
        <v>74224.822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288</v>
      </c>
      <c r="D1216" s="58">
        <f>Bil!E251</f>
        <v>1152</v>
      </c>
      <c r="E1216" s="58">
        <v>0</v>
      </c>
      <c r="F1216" s="58">
        <v>0</v>
      </c>
      <c r="G1216" s="59">
        <f t="shared" si="38"/>
        <v>622.08000000000004</v>
      </c>
      <c r="H1216" s="59">
        <f t="shared" si="37"/>
        <v>0</v>
      </c>
      <c r="I1216" s="60"/>
    </row>
    <row r="1217" spans="1:9" x14ac:dyDescent="0.2">
      <c r="A1217" s="57">
        <v>152</v>
      </c>
      <c r="B1217" s="58">
        <f>Bil!C252</f>
        <v>241</v>
      </c>
      <c r="C1217" s="58">
        <f>Bil!D252</f>
        <v>5401</v>
      </c>
      <c r="D1217" s="58">
        <f>Bil!E252</f>
        <v>238</v>
      </c>
      <c r="E1217" s="58">
        <v>0</v>
      </c>
      <c r="F1217" s="58">
        <v>0</v>
      </c>
      <c r="G1217" s="59">
        <f t="shared" si="38"/>
        <v>1416.3569999999997</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288</v>
      </c>
      <c r="D1224" s="58">
        <f>Bil!E260</f>
        <v>1152</v>
      </c>
      <c r="E1224" s="58">
        <v>0</v>
      </c>
      <c r="F1224" s="58">
        <v>0</v>
      </c>
      <c r="G1224" s="59">
        <f t="shared" si="38"/>
        <v>642.81600000000003</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5401</v>
      </c>
      <c r="D1226" s="58">
        <f>Bil!E262</f>
        <v>238</v>
      </c>
      <c r="E1226" s="58">
        <v>0</v>
      </c>
      <c r="F1226" s="58">
        <v>0</v>
      </c>
      <c r="G1226" s="59">
        <f t="shared" si="38"/>
        <v>1469.25</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757201</v>
      </c>
      <c r="D1251" s="58">
        <f>Bil!E287</f>
        <v>735691</v>
      </c>
      <c r="E1251" s="58">
        <v>0</v>
      </c>
      <c r="F1251" s="58">
        <v>0</v>
      </c>
      <c r="G1251" s="59">
        <f t="shared" si="40"/>
        <v>612860.32500000007</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24500</v>
      </c>
      <c r="E1253" s="58">
        <v>0</v>
      </c>
      <c r="F1253" s="58">
        <v>0</v>
      </c>
      <c r="G1253" s="59">
        <f t="shared" si="40"/>
        <v>13573.000000000002</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9086178</v>
      </c>
      <c r="D1396" s="58">
        <f>RasF!E121</f>
        <v>9421704</v>
      </c>
      <c r="E1396" s="58">
        <v>0</v>
      </c>
      <c r="F1396" s="58">
        <v>0</v>
      </c>
      <c r="G1396" s="59">
        <f t="shared" si="44"/>
        <v>3072254.46</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9086178</v>
      </c>
      <c r="D1400" s="58">
        <f>RasF!E125</f>
        <v>9421704</v>
      </c>
      <c r="E1400" s="58">
        <v>0</v>
      </c>
      <c r="F1400" s="58">
        <v>0</v>
      </c>
      <c r="G1400" s="59">
        <f t="shared" si="44"/>
        <v>3183972.804</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9086178</v>
      </c>
      <c r="D1402" s="58">
        <f>RasF!E127</f>
        <v>9421704</v>
      </c>
      <c r="E1402" s="58">
        <v>0</v>
      </c>
      <c r="F1402" s="58">
        <v>0</v>
      </c>
      <c r="G1402" s="59">
        <f t="shared" si="44"/>
        <v>3239831.9760000003</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9086178</v>
      </c>
      <c r="D1423" s="67">
        <f>RasF!E148</f>
        <v>9421704</v>
      </c>
      <c r="E1423" s="67">
        <v>0</v>
      </c>
      <c r="F1423" s="67">
        <v>0</v>
      </c>
      <c r="G1423" s="68">
        <f t="shared" si="44"/>
        <v>3826353.2820000006</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757204</v>
      </c>
      <c r="D1468" s="70"/>
      <c r="E1468" s="70">
        <v>0</v>
      </c>
      <c r="F1468" s="70">
        <v>0</v>
      </c>
      <c r="G1468" s="64">
        <f t="shared" ref="G1468:G1499" si="51">B1468/1000*C1468</f>
        <v>757.20400000000006</v>
      </c>
      <c r="H1468" s="64">
        <f t="shared" ref="H1468:H1499" si="52">ABS(C1468-ROUND(C1468,0))</f>
        <v>0</v>
      </c>
      <c r="I1468" s="65"/>
    </row>
    <row r="1469" spans="1:9" x14ac:dyDescent="0.2">
      <c r="A1469" s="73">
        <v>159</v>
      </c>
      <c r="B1469" s="61">
        <f>Obv!C13</f>
        <v>2</v>
      </c>
      <c r="C1469" s="61">
        <f>Obv!D13</f>
        <v>9408278</v>
      </c>
      <c r="D1469" s="61">
        <v>0</v>
      </c>
      <c r="E1469" s="61">
        <v>0</v>
      </c>
      <c r="F1469" s="61">
        <v>0</v>
      </c>
      <c r="G1469" s="59">
        <f t="shared" si="51"/>
        <v>18816.556</v>
      </c>
      <c r="H1469" s="59">
        <f t="shared" si="52"/>
        <v>0</v>
      </c>
      <c r="I1469" s="60"/>
    </row>
    <row r="1470" spans="1:9" x14ac:dyDescent="0.2">
      <c r="A1470" s="73">
        <v>159</v>
      </c>
      <c r="B1470" s="61">
        <f>Obv!C14</f>
        <v>3</v>
      </c>
      <c r="C1470" s="61">
        <f>Obv!D14</f>
        <v>8358</v>
      </c>
      <c r="D1470" s="61">
        <v>0</v>
      </c>
      <c r="E1470" s="61">
        <v>0</v>
      </c>
      <c r="F1470" s="61">
        <v>0</v>
      </c>
      <c r="G1470" s="59">
        <f t="shared" si="51"/>
        <v>25.074000000000002</v>
      </c>
      <c r="H1470" s="59">
        <f t="shared" si="52"/>
        <v>0</v>
      </c>
      <c r="I1470" s="60"/>
    </row>
    <row r="1471" spans="1:9" x14ac:dyDescent="0.2">
      <c r="A1471" s="73">
        <v>159</v>
      </c>
      <c r="B1471" s="61">
        <f>Obv!C15</f>
        <v>4</v>
      </c>
      <c r="C1471" s="61">
        <f>Obv!D15</f>
        <v>9305042</v>
      </c>
      <c r="D1471" s="61">
        <v>0</v>
      </c>
      <c r="E1471" s="61">
        <v>0</v>
      </c>
      <c r="F1471" s="61">
        <v>0</v>
      </c>
      <c r="G1471" s="59">
        <f t="shared" si="51"/>
        <v>37220.167999999998</v>
      </c>
      <c r="H1471" s="59">
        <f t="shared" si="52"/>
        <v>0</v>
      </c>
      <c r="I1471" s="60"/>
    </row>
    <row r="1472" spans="1:9" x14ac:dyDescent="0.2">
      <c r="A1472" s="73">
        <v>159</v>
      </c>
      <c r="B1472" s="61">
        <f>Obv!C16</f>
        <v>5</v>
      </c>
      <c r="C1472" s="61">
        <f>Obv!D16</f>
        <v>8404824</v>
      </c>
      <c r="D1472" s="61">
        <v>0</v>
      </c>
      <c r="E1472" s="61">
        <v>0</v>
      </c>
      <c r="F1472" s="61">
        <v>0</v>
      </c>
      <c r="G1472" s="59">
        <f t="shared" si="51"/>
        <v>42024.12</v>
      </c>
      <c r="H1472" s="59">
        <f t="shared" si="52"/>
        <v>0</v>
      </c>
      <c r="I1472" s="60"/>
    </row>
    <row r="1473" spans="1:9" x14ac:dyDescent="0.2">
      <c r="A1473" s="73">
        <v>159</v>
      </c>
      <c r="B1473" s="61">
        <f>Obv!C17</f>
        <v>6</v>
      </c>
      <c r="C1473" s="61">
        <f>Obv!D17</f>
        <v>896962</v>
      </c>
      <c r="D1473" s="61">
        <v>0</v>
      </c>
      <c r="E1473" s="61">
        <v>0</v>
      </c>
      <c r="F1473" s="61">
        <v>0</v>
      </c>
      <c r="G1473" s="59">
        <f t="shared" si="51"/>
        <v>5381.7719999999999</v>
      </c>
      <c r="H1473" s="59">
        <f t="shared" si="52"/>
        <v>0</v>
      </c>
      <c r="I1473" s="60"/>
    </row>
    <row r="1474" spans="1:9" x14ac:dyDescent="0.2">
      <c r="A1474" s="73">
        <v>159</v>
      </c>
      <c r="B1474" s="61">
        <f>Obv!C18</f>
        <v>7</v>
      </c>
      <c r="C1474" s="61">
        <f>Obv!D18</f>
        <v>3256</v>
      </c>
      <c r="D1474" s="61">
        <v>0</v>
      </c>
      <c r="E1474" s="61">
        <v>0</v>
      </c>
      <c r="F1474" s="61">
        <v>0</v>
      </c>
      <c r="G1474" s="59">
        <f t="shared" si="51"/>
        <v>22.792000000000002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94878</v>
      </c>
      <c r="D1479" s="61">
        <v>0</v>
      </c>
      <c r="E1479" s="61">
        <v>0</v>
      </c>
      <c r="F1479" s="61">
        <v>0</v>
      </c>
      <c r="G1479" s="59">
        <f t="shared" si="51"/>
        <v>1138.5360000000001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9405291</v>
      </c>
      <c r="D1486" s="61">
        <v>0</v>
      </c>
      <c r="E1486" s="61">
        <v>0</v>
      </c>
      <c r="F1486" s="61">
        <v>0</v>
      </c>
      <c r="G1486" s="59">
        <f t="shared" si="51"/>
        <v>178700.52900000001</v>
      </c>
      <c r="H1486" s="59">
        <f t="shared" si="52"/>
        <v>0</v>
      </c>
      <c r="I1486" s="60"/>
    </row>
    <row r="1487" spans="1:9" x14ac:dyDescent="0.2">
      <c r="A1487" s="73">
        <v>159</v>
      </c>
      <c r="B1487" s="61">
        <f>Obv!C31</f>
        <v>20</v>
      </c>
      <c r="C1487" s="61">
        <f>Obv!D31</f>
        <v>17140</v>
      </c>
      <c r="D1487" s="61">
        <v>0</v>
      </c>
      <c r="E1487" s="61">
        <v>0</v>
      </c>
      <c r="F1487" s="61">
        <v>0</v>
      </c>
      <c r="G1487" s="59">
        <f t="shared" si="51"/>
        <v>342.8</v>
      </c>
      <c r="H1487" s="59">
        <f t="shared" si="52"/>
        <v>0</v>
      </c>
      <c r="I1487" s="60"/>
    </row>
    <row r="1488" spans="1:9" x14ac:dyDescent="0.2">
      <c r="A1488" s="73">
        <v>159</v>
      </c>
      <c r="B1488" s="61">
        <f>Obv!C32</f>
        <v>21</v>
      </c>
      <c r="C1488" s="61">
        <f>Obv!D32</f>
        <v>9317773</v>
      </c>
      <c r="D1488" s="61">
        <v>0</v>
      </c>
      <c r="E1488" s="61">
        <v>0</v>
      </c>
      <c r="F1488" s="61">
        <v>0</v>
      </c>
      <c r="G1488" s="59">
        <f t="shared" si="51"/>
        <v>195673.23300000001</v>
      </c>
      <c r="H1488" s="59">
        <f t="shared" si="52"/>
        <v>0</v>
      </c>
      <c r="I1488" s="60"/>
    </row>
    <row r="1489" spans="1:9" x14ac:dyDescent="0.2">
      <c r="A1489" s="73">
        <v>159</v>
      </c>
      <c r="B1489" s="61">
        <f>Obv!C33</f>
        <v>22</v>
      </c>
      <c r="C1489" s="61">
        <f>Obv!D33</f>
        <v>8417955</v>
      </c>
      <c r="D1489" s="61">
        <v>0</v>
      </c>
      <c r="E1489" s="61">
        <v>0</v>
      </c>
      <c r="F1489" s="61">
        <v>0</v>
      </c>
      <c r="G1489" s="59">
        <f t="shared" si="51"/>
        <v>185195.00999999998</v>
      </c>
      <c r="H1489" s="59">
        <f t="shared" si="52"/>
        <v>0</v>
      </c>
      <c r="I1489" s="60"/>
    </row>
    <row r="1490" spans="1:9" x14ac:dyDescent="0.2">
      <c r="A1490" s="73">
        <v>159</v>
      </c>
      <c r="B1490" s="61">
        <f>Obv!C34</f>
        <v>23</v>
      </c>
      <c r="C1490" s="61">
        <f>Obv!D34</f>
        <v>896393</v>
      </c>
      <c r="D1490" s="61">
        <v>0</v>
      </c>
      <c r="E1490" s="61">
        <v>0</v>
      </c>
      <c r="F1490" s="61">
        <v>0</v>
      </c>
      <c r="G1490" s="59">
        <f t="shared" si="51"/>
        <v>20617.039000000001</v>
      </c>
      <c r="H1490" s="59">
        <f t="shared" si="52"/>
        <v>0</v>
      </c>
      <c r="I1490" s="60"/>
    </row>
    <row r="1491" spans="1:9" x14ac:dyDescent="0.2">
      <c r="A1491" s="73">
        <v>159</v>
      </c>
      <c r="B1491" s="61">
        <f>Obv!C35</f>
        <v>24</v>
      </c>
      <c r="C1491" s="61">
        <f>Obv!D35</f>
        <v>3425</v>
      </c>
      <c r="D1491" s="61">
        <v>0</v>
      </c>
      <c r="E1491" s="61">
        <v>0</v>
      </c>
      <c r="F1491" s="61">
        <v>0</v>
      </c>
      <c r="G1491" s="59">
        <f t="shared" si="51"/>
        <v>82.2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70378</v>
      </c>
      <c r="D1496" s="61">
        <v>0</v>
      </c>
      <c r="E1496" s="61">
        <v>0</v>
      </c>
      <c r="F1496" s="61">
        <v>0</v>
      </c>
      <c r="G1496" s="59">
        <f t="shared" si="51"/>
        <v>2040.9620000000002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760191</v>
      </c>
      <c r="D1503" s="61">
        <v>0</v>
      </c>
      <c r="E1503" s="61">
        <v>0</v>
      </c>
      <c r="F1503" s="61">
        <v>0</v>
      </c>
      <c r="G1503" s="59">
        <f t="shared" si="53"/>
        <v>27366.875999999997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760191</v>
      </c>
      <c r="D1557" s="61">
        <v>0</v>
      </c>
      <c r="E1557" s="61">
        <v>0</v>
      </c>
      <c r="F1557" s="61">
        <v>0</v>
      </c>
      <c r="G1557" s="59">
        <f t="shared" si="55"/>
        <v>68417.19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735691</v>
      </c>
      <c r="D1559" s="61">
        <v>0</v>
      </c>
      <c r="E1559" s="61">
        <v>0</v>
      </c>
      <c r="F1559" s="61">
        <v>0</v>
      </c>
      <c r="G1559" s="59">
        <f t="shared" si="55"/>
        <v>67683.572</v>
      </c>
      <c r="H1559" s="59">
        <f t="shared" si="56"/>
        <v>0</v>
      </c>
      <c r="I1559" s="60"/>
    </row>
    <row r="1560" spans="1:9" x14ac:dyDescent="0.2">
      <c r="A1560" s="73">
        <v>159</v>
      </c>
      <c r="B1560" s="61">
        <f>Obv!C104</f>
        <v>93</v>
      </c>
      <c r="C1560" s="61">
        <f>Obv!D104</f>
        <v>24500</v>
      </c>
      <c r="D1560" s="61">
        <v>0</v>
      </c>
      <c r="E1560" s="61">
        <v>0</v>
      </c>
      <c r="F1560" s="61">
        <v>0</v>
      </c>
      <c r="G1560" s="59">
        <f t="shared" si="55"/>
        <v>2278.5</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1" sqref="B1"/>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623" activePane="bottomLeft" state="frozen"/>
      <selection pane="bottomLeft" activeCell="D300" sqref="D30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358" t="s">
        <v>2788</v>
      </c>
      <c r="B1" s="359"/>
      <c r="C1" s="362" t="s">
        <v>3382</v>
      </c>
      <c r="D1" s="363"/>
      <c r="E1" s="363"/>
      <c r="F1" s="363"/>
    </row>
    <row r="2" spans="1:7" s="23" customFormat="1" ht="39.950000000000003" customHeight="1" thickBot="1" x14ac:dyDescent="0.25">
      <c r="A2" s="364" t="s">
        <v>2050</v>
      </c>
      <c r="B2" s="357"/>
      <c r="C2" s="357"/>
      <c r="D2" s="365"/>
      <c r="E2" s="360" t="s">
        <v>869</v>
      </c>
      <c r="F2" s="361"/>
    </row>
    <row r="3" spans="1:7" s="283" customFormat="1" ht="30" customHeight="1" x14ac:dyDescent="0.2">
      <c r="A3" s="356" t="str">
        <f>"za razdoblje "&amp;IF(RefStr!K10="","________________",TEXT(RefStr!K10,"d.mmmm yyyy.")&amp;" do "&amp;IF(RefStr!K12="","______________",TEXT(RefStr!K12,"d. mmmm yyyy.")))</f>
        <v>za razdoblje 1.siječanj 2018. do 31. prosinac 2018.</v>
      </c>
      <c r="B3" s="357"/>
      <c r="C3" s="357"/>
      <c r="D3" s="357"/>
      <c r="E3" s="56"/>
      <c r="F3" s="56"/>
    </row>
    <row r="4" spans="1:7" s="23" customFormat="1" ht="15" customHeight="1" x14ac:dyDescent="0.2">
      <c r="A4" s="36" t="s">
        <v>2661</v>
      </c>
      <c r="B4" s="368" t="str">
        <f>"RKP: "&amp;IF(RefStr!B6&lt;&gt;"",TEXT(INT(VALUE(RefStr!B6)),"00000"),"_____"&amp;",  "&amp;"MB: "&amp;IF(RefStr!B8&lt;&gt;"",TEXT(INT(VALUE(RefStr!B8)),"00000000"),"________")&amp;"  OIB: "&amp;IF(RefStr!K14&lt;&gt;"",RefStr!K14,"___________"))</f>
        <v>RKP: 17941</v>
      </c>
      <c r="C4" s="369"/>
      <c r="D4" s="369"/>
      <c r="E4" s="370">
        <f>SUM(Skriveni!G2:G976)</f>
        <v>142449096.93600002</v>
      </c>
      <c r="F4" s="371"/>
    </row>
    <row r="5" spans="1:7" s="23" customFormat="1" ht="15" customHeight="1" x14ac:dyDescent="0.2">
      <c r="B5" s="368" t="str">
        <f>"Naziv: "&amp;IF(RefStr!B10&lt;&gt;"",RefStr!B10,"_______________________________________")</f>
        <v>Naziv: III. GIMNAZIJA</v>
      </c>
      <c r="C5" s="369"/>
      <c r="D5" s="369"/>
      <c r="E5" s="372" t="s">
        <v>7</v>
      </c>
      <c r="F5" s="372"/>
    </row>
    <row r="6" spans="1:7" s="23" customFormat="1" ht="15" customHeight="1" x14ac:dyDescent="0.2">
      <c r="A6" s="24"/>
      <c r="B6" s="366" t="str">
        <f xml:space="preserve"> "Razina: " &amp; RefStr!B16 &amp; ", Razdjel: " &amp; TEXT(INT(VALUE(RefStr!B20)), "000")</f>
        <v>Razina: 31, Razdjel: 000</v>
      </c>
      <c r="C6" s="367"/>
      <c r="D6" s="367"/>
      <c r="E6" s="367"/>
      <c r="F6" s="367"/>
    </row>
    <row r="7" spans="1:7" s="23" customFormat="1" ht="15" customHeight="1" x14ac:dyDescent="0.2">
      <c r="A7" s="24"/>
      <c r="B7" s="366" t="str">
        <f>"Djelatnost: " &amp; RefStr!B18 &amp; " " &amp; RefStr!C18</f>
        <v>Djelatnost: 8531 Opće srednje obrazovanje</v>
      </c>
      <c r="C7" s="367"/>
      <c r="D7" s="367"/>
      <c r="E7" s="367"/>
      <c r="F7" s="36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352" t="s">
        <v>908</v>
      </c>
      <c r="B11" s="353"/>
      <c r="C11" s="348"/>
      <c r="D11" s="143"/>
      <c r="E11" s="143"/>
      <c r="F11" s="144"/>
    </row>
    <row r="12" spans="1:7" s="8" customFormat="1" x14ac:dyDescent="0.2">
      <c r="A12" s="145">
        <v>6</v>
      </c>
      <c r="B12" s="146" t="s">
        <v>909</v>
      </c>
      <c r="C12" s="345">
        <v>1</v>
      </c>
      <c r="D12" s="147">
        <f>D13+D50+D56+D85+D116+D134+D141+D147</f>
        <v>9096994</v>
      </c>
      <c r="E12" s="147">
        <f>E13+E50+E56+E85+E116+E134+E141+E147</f>
        <v>9505757</v>
      </c>
      <c r="F12" s="148">
        <f>IF(D12&lt;&gt;0,IF(E12/D12&gt;=100,"&gt;&gt;100",E12/D12*100),"-")</f>
        <v>104.49338539741808</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8164968</v>
      </c>
      <c r="E56" s="147">
        <f>E57+E60+E65+E68+E71+E74+E77+E80</f>
        <v>8595397</v>
      </c>
      <c r="F56" s="150">
        <f t="shared" si="0"/>
        <v>105.27165568805658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38865</v>
      </c>
      <c r="E68" s="147">
        <f>SUM(E69:E70)</f>
        <v>36441</v>
      </c>
      <c r="F68" s="150">
        <f t="shared" si="0"/>
        <v>93.763025858741798</v>
      </c>
    </row>
    <row r="69" spans="1:6" s="8" customFormat="1" x14ac:dyDescent="0.2">
      <c r="A69" s="145">
        <v>6341</v>
      </c>
      <c r="B69" s="146" t="s">
        <v>3699</v>
      </c>
      <c r="C69" s="345">
        <v>58</v>
      </c>
      <c r="D69" s="149">
        <v>38865</v>
      </c>
      <c r="E69" s="149">
        <v>36441</v>
      </c>
      <c r="F69" s="148">
        <f t="shared" si="0"/>
        <v>93.763025858741798</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8126103</v>
      </c>
      <c r="E74" s="147">
        <f>SUM(E75:E76)</f>
        <v>8558956</v>
      </c>
      <c r="F74" s="150">
        <f t="shared" si="0"/>
        <v>105.32669841866391</v>
      </c>
    </row>
    <row r="75" spans="1:6" s="8" customFormat="1" x14ac:dyDescent="0.2">
      <c r="A75" s="145" t="s">
        <v>1142</v>
      </c>
      <c r="B75" s="146" t="s">
        <v>3980</v>
      </c>
      <c r="C75" s="345">
        <v>64</v>
      </c>
      <c r="D75" s="149">
        <v>8126103</v>
      </c>
      <c r="E75" s="149">
        <v>8443956</v>
      </c>
      <c r="F75" s="148">
        <f t="shared" si="0"/>
        <v>103.91150592110388</v>
      </c>
    </row>
    <row r="76" spans="1:6" s="8" customFormat="1" x14ac:dyDescent="0.2">
      <c r="A76" s="145" t="s">
        <v>3981</v>
      </c>
      <c r="B76" s="146" t="s">
        <v>3982</v>
      </c>
      <c r="C76" s="345">
        <v>65</v>
      </c>
      <c r="D76" s="149"/>
      <c r="E76" s="149">
        <v>115000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v>
      </c>
      <c r="E85" s="147">
        <f>E86+E94+E101+E109</f>
        <v>7</v>
      </c>
      <c r="F85" s="150">
        <f t="shared" si="1"/>
        <v>350</v>
      </c>
    </row>
    <row r="86" spans="1:6" s="8" customFormat="1" x14ac:dyDescent="0.2">
      <c r="A86" s="145">
        <v>641</v>
      </c>
      <c r="B86" s="146" t="s">
        <v>929</v>
      </c>
      <c r="C86" s="345">
        <v>75</v>
      </c>
      <c r="D86" s="147">
        <f>SUM(D87:D93)</f>
        <v>2</v>
      </c>
      <c r="E86" s="147">
        <f>SUM(E87:E93)</f>
        <v>7</v>
      </c>
      <c r="F86" s="150">
        <f t="shared" si="1"/>
        <v>350</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v>
      </c>
      <c r="E88" s="149">
        <v>7</v>
      </c>
      <c r="F88" s="148">
        <f t="shared" si="1"/>
        <v>350</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63601</v>
      </c>
      <c r="E116" s="147">
        <f>E117+E122+E130</f>
        <v>95655</v>
      </c>
      <c r="F116" s="150">
        <f t="shared" si="1"/>
        <v>150.39857863870066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63601</v>
      </c>
      <c r="E122" s="147">
        <f>SUM(E123:E129)</f>
        <v>95655</v>
      </c>
      <c r="F122" s="150">
        <f t="shared" si="1"/>
        <v>150.39857863870066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63601</v>
      </c>
      <c r="E127" s="149">
        <v>95655</v>
      </c>
      <c r="F127" s="148">
        <f t="shared" si="1"/>
        <v>150.39857863870066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79719</v>
      </c>
      <c r="E134" s="147">
        <f>E135+E138</f>
        <v>72931</v>
      </c>
      <c r="F134" s="150">
        <f t="shared" si="1"/>
        <v>91.485091383484487</v>
      </c>
    </row>
    <row r="135" spans="1:6" s="8" customFormat="1" x14ac:dyDescent="0.2">
      <c r="A135" s="145">
        <v>661</v>
      </c>
      <c r="B135" s="146" t="s">
        <v>425</v>
      </c>
      <c r="C135" s="345">
        <v>124</v>
      </c>
      <c r="D135" s="147">
        <f>SUM(D136:D137)</f>
        <v>18181</v>
      </c>
      <c r="E135" s="147">
        <f>SUM(E136:E137)</f>
        <v>5421</v>
      </c>
      <c r="F135" s="150">
        <f t="shared" si="1"/>
        <v>29.816841757879104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18181</v>
      </c>
      <c r="E137" s="149">
        <v>5421</v>
      </c>
      <c r="F137" s="148">
        <f t="shared" si="1"/>
        <v>29.816841757879104</v>
      </c>
    </row>
    <row r="138" spans="1:6" s="8" customFormat="1" x14ac:dyDescent="0.2">
      <c r="A138" s="145">
        <v>663</v>
      </c>
      <c r="B138" s="151" t="s">
        <v>426</v>
      </c>
      <c r="C138" s="345">
        <v>127</v>
      </c>
      <c r="D138" s="147">
        <f>SUM(D139:D140)</f>
        <v>61538</v>
      </c>
      <c r="E138" s="147">
        <f>SUM(E139:E140)</f>
        <v>67510</v>
      </c>
      <c r="F138" s="150">
        <f t="shared" si="1"/>
        <v>109.70457278429589</v>
      </c>
    </row>
    <row r="139" spans="1:6" s="8" customFormat="1" x14ac:dyDescent="0.2">
      <c r="A139" s="145">
        <v>6631</v>
      </c>
      <c r="B139" s="146" t="s">
        <v>1502</v>
      </c>
      <c r="C139" s="345">
        <v>128</v>
      </c>
      <c r="D139" s="149">
        <v>61538</v>
      </c>
      <c r="E139" s="149">
        <v>67510</v>
      </c>
      <c r="F139" s="148">
        <f t="shared" si="1"/>
        <v>109.70457278429589</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788704</v>
      </c>
      <c r="E141" s="147">
        <f>E142+E146</f>
        <v>741767</v>
      </c>
      <c r="F141" s="150">
        <f t="shared" si="1"/>
        <v>94.048844686980161</v>
      </c>
    </row>
    <row r="142" spans="1:6" s="8" customFormat="1" ht="24" x14ac:dyDescent="0.2">
      <c r="A142" s="145">
        <v>671</v>
      </c>
      <c r="B142" s="154" t="s">
        <v>1672</v>
      </c>
      <c r="C142" s="345">
        <v>131</v>
      </c>
      <c r="D142" s="147">
        <f>SUM(D143:D145)</f>
        <v>788704</v>
      </c>
      <c r="E142" s="147">
        <f>SUM(E143:E145)</f>
        <v>741767</v>
      </c>
      <c r="F142" s="150">
        <f t="shared" ref="F142:F205" si="2">IF(D142&lt;&gt;0,IF(E142/D142&gt;=100,"&gt;&gt;100",E142/D142*100),"-")</f>
        <v>94.048844686980161</v>
      </c>
    </row>
    <row r="143" spans="1:6" s="8" customFormat="1" x14ac:dyDescent="0.2">
      <c r="A143" s="145">
        <v>6711</v>
      </c>
      <c r="B143" s="146" t="s">
        <v>3582</v>
      </c>
      <c r="C143" s="345">
        <v>132</v>
      </c>
      <c r="D143" s="149">
        <v>734834</v>
      </c>
      <c r="E143" s="149">
        <v>691856</v>
      </c>
      <c r="F143" s="148">
        <f t="shared" si="2"/>
        <v>94.151332137598416</v>
      </c>
    </row>
    <row r="144" spans="1:6" s="8" customFormat="1" x14ac:dyDescent="0.2">
      <c r="A144" s="145">
        <v>6712</v>
      </c>
      <c r="B144" s="151" t="s">
        <v>2276</v>
      </c>
      <c r="C144" s="345">
        <v>133</v>
      </c>
      <c r="D144" s="149">
        <v>53870</v>
      </c>
      <c r="E144" s="149">
        <v>49911</v>
      </c>
      <c r="F144" s="148">
        <f t="shared" si="2"/>
        <v>92.650826062743647</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8999990</v>
      </c>
      <c r="E159" s="147">
        <f>E160+E171+E204+E223+E232+E257+E268</f>
        <v>9317115</v>
      </c>
      <c r="F159" s="150">
        <f t="shared" si="2"/>
        <v>103.52361502623893</v>
      </c>
    </row>
    <row r="160" spans="1:6" s="8" customFormat="1" x14ac:dyDescent="0.2">
      <c r="A160" s="145">
        <v>31</v>
      </c>
      <c r="B160" s="146" t="s">
        <v>431</v>
      </c>
      <c r="C160" s="345">
        <v>149</v>
      </c>
      <c r="D160" s="147">
        <f>D161+D166+D167</f>
        <v>8072855</v>
      </c>
      <c r="E160" s="147">
        <f>E161+E166+E167</f>
        <v>8414933</v>
      </c>
      <c r="F160" s="150">
        <f t="shared" si="2"/>
        <v>104.23738565848141</v>
      </c>
    </row>
    <row r="161" spans="1:6" s="8" customFormat="1" x14ac:dyDescent="0.2">
      <c r="A161" s="145">
        <v>311</v>
      </c>
      <c r="B161" s="146" t="s">
        <v>432</v>
      </c>
      <c r="C161" s="345">
        <v>150</v>
      </c>
      <c r="D161" s="147">
        <f>SUM(D162:D165)</f>
        <v>6651897</v>
      </c>
      <c r="E161" s="147">
        <f>SUM(E162:E165)</f>
        <v>6956439</v>
      </c>
      <c r="F161" s="150">
        <f t="shared" si="2"/>
        <v>104.57827293477335</v>
      </c>
    </row>
    <row r="162" spans="1:6" s="8" customFormat="1" x14ac:dyDescent="0.2">
      <c r="A162" s="145">
        <v>3111</v>
      </c>
      <c r="B162" s="146" t="s">
        <v>385</v>
      </c>
      <c r="C162" s="345">
        <v>151</v>
      </c>
      <c r="D162" s="149">
        <v>6651647</v>
      </c>
      <c r="E162" s="149">
        <v>6956439</v>
      </c>
      <c r="F162" s="148">
        <f t="shared" si="2"/>
        <v>104.58220347531973</v>
      </c>
    </row>
    <row r="163" spans="1:6" s="8" customFormat="1" x14ac:dyDescent="0.2">
      <c r="A163" s="145">
        <v>3112</v>
      </c>
      <c r="B163" s="146" t="s">
        <v>386</v>
      </c>
      <c r="C163" s="345">
        <v>152</v>
      </c>
      <c r="D163" s="149">
        <v>250</v>
      </c>
      <c r="E163" s="149">
        <v>0</v>
      </c>
      <c r="F163" s="148">
        <f t="shared" si="2"/>
        <v>0</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292041</v>
      </c>
      <c r="E166" s="149">
        <v>267129</v>
      </c>
      <c r="F166" s="148">
        <f t="shared" si="2"/>
        <v>91.469690899565464</v>
      </c>
    </row>
    <row r="167" spans="1:6" s="8" customFormat="1" x14ac:dyDescent="0.2">
      <c r="A167" s="145">
        <v>313</v>
      </c>
      <c r="B167" s="146" t="s">
        <v>2853</v>
      </c>
      <c r="C167" s="345">
        <v>156</v>
      </c>
      <c r="D167" s="147">
        <f>SUM(D168:D170)</f>
        <v>1128917</v>
      </c>
      <c r="E167" s="147">
        <f>SUM(E168:E170)</f>
        <v>1191365</v>
      </c>
      <c r="F167" s="150">
        <f t="shared" si="2"/>
        <v>105.53167327624618</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1017338</v>
      </c>
      <c r="E169" s="149">
        <v>1073614</v>
      </c>
      <c r="F169" s="148">
        <f t="shared" si="2"/>
        <v>105.53169153221447</v>
      </c>
    </row>
    <row r="170" spans="1:6" s="8" customFormat="1" x14ac:dyDescent="0.2">
      <c r="A170" s="145">
        <v>3133</v>
      </c>
      <c r="B170" s="146" t="s">
        <v>264</v>
      </c>
      <c r="C170" s="345">
        <v>159</v>
      </c>
      <c r="D170" s="149">
        <v>111579</v>
      </c>
      <c r="E170" s="149">
        <v>117751</v>
      </c>
      <c r="F170" s="148">
        <f t="shared" si="2"/>
        <v>105.53150682476094</v>
      </c>
    </row>
    <row r="171" spans="1:6" s="8" customFormat="1" x14ac:dyDescent="0.2">
      <c r="A171" s="145">
        <v>32</v>
      </c>
      <c r="B171" s="146" t="s">
        <v>433</v>
      </c>
      <c r="C171" s="345">
        <v>160</v>
      </c>
      <c r="D171" s="147">
        <f>D172+D177+D185+D195+D196</f>
        <v>923460</v>
      </c>
      <c r="E171" s="147">
        <f>E172+E177+E185+E195+E196</f>
        <v>898926</v>
      </c>
      <c r="F171" s="150">
        <f t="shared" si="2"/>
        <v>97.343252550191679</v>
      </c>
    </row>
    <row r="172" spans="1:6" s="8" customFormat="1" x14ac:dyDescent="0.2">
      <c r="A172" s="145">
        <v>321</v>
      </c>
      <c r="B172" s="146" t="s">
        <v>3359</v>
      </c>
      <c r="C172" s="345">
        <v>161</v>
      </c>
      <c r="D172" s="147">
        <f>SUM(D173:D176)</f>
        <v>254477</v>
      </c>
      <c r="E172" s="147">
        <f>SUM(E173:E176)</f>
        <v>245841</v>
      </c>
      <c r="F172" s="150">
        <f t="shared" si="2"/>
        <v>96.606373071043748</v>
      </c>
    </row>
    <row r="173" spans="1:6" s="8" customFormat="1" x14ac:dyDescent="0.2">
      <c r="A173" s="145">
        <v>3211</v>
      </c>
      <c r="B173" s="146" t="s">
        <v>3243</v>
      </c>
      <c r="C173" s="345">
        <v>162</v>
      </c>
      <c r="D173" s="149">
        <v>87159</v>
      </c>
      <c r="E173" s="149">
        <v>89030</v>
      </c>
      <c r="F173" s="148">
        <f t="shared" si="2"/>
        <v>102.14665152193119</v>
      </c>
    </row>
    <row r="174" spans="1:6" s="8" customFormat="1" x14ac:dyDescent="0.2">
      <c r="A174" s="145">
        <v>3212</v>
      </c>
      <c r="B174" s="146" t="s">
        <v>108</v>
      </c>
      <c r="C174" s="345">
        <v>163</v>
      </c>
      <c r="D174" s="149">
        <v>159817</v>
      </c>
      <c r="E174" s="149">
        <v>154166</v>
      </c>
      <c r="F174" s="148">
        <f t="shared" si="2"/>
        <v>96.464080792406321</v>
      </c>
    </row>
    <row r="175" spans="1:6" s="8" customFormat="1" x14ac:dyDescent="0.2">
      <c r="A175" s="145">
        <v>3213</v>
      </c>
      <c r="B175" s="146" t="s">
        <v>2999</v>
      </c>
      <c r="C175" s="345">
        <v>164</v>
      </c>
      <c r="D175" s="149">
        <v>7501</v>
      </c>
      <c r="E175" s="149">
        <v>2645</v>
      </c>
      <c r="F175" s="148">
        <f t="shared" si="2"/>
        <v>35.261965071323829</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359754</v>
      </c>
      <c r="E177" s="147">
        <f>SUM(E178:E184)</f>
        <v>373628</v>
      </c>
      <c r="F177" s="150">
        <f t="shared" si="2"/>
        <v>103.85652418041218</v>
      </c>
    </row>
    <row r="178" spans="1:6" s="8" customFormat="1" x14ac:dyDescent="0.2">
      <c r="A178" s="145">
        <v>3221</v>
      </c>
      <c r="B178" s="146" t="s">
        <v>3000</v>
      </c>
      <c r="C178" s="345">
        <v>167</v>
      </c>
      <c r="D178" s="149">
        <v>66333</v>
      </c>
      <c r="E178" s="149">
        <v>73874</v>
      </c>
      <c r="F178" s="148">
        <f t="shared" si="2"/>
        <v>111.36839883617506</v>
      </c>
    </row>
    <row r="179" spans="1:6" s="8" customFormat="1" x14ac:dyDescent="0.2">
      <c r="A179" s="145">
        <v>3222</v>
      </c>
      <c r="B179" s="146" t="s">
        <v>3001</v>
      </c>
      <c r="C179" s="345">
        <v>168</v>
      </c>
      <c r="D179" s="149"/>
      <c r="E179" s="149">
        <v>6912</v>
      </c>
      <c r="F179" s="148" t="str">
        <f t="shared" si="2"/>
        <v>-</v>
      </c>
    </row>
    <row r="180" spans="1:6" s="8" customFormat="1" x14ac:dyDescent="0.2">
      <c r="A180" s="145">
        <v>3223</v>
      </c>
      <c r="B180" s="146" t="s">
        <v>3002</v>
      </c>
      <c r="C180" s="345">
        <v>169</v>
      </c>
      <c r="D180" s="149">
        <v>255109</v>
      </c>
      <c r="E180" s="149">
        <v>244420</v>
      </c>
      <c r="F180" s="148">
        <f t="shared" si="2"/>
        <v>95.81002630248247</v>
      </c>
    </row>
    <row r="181" spans="1:6" s="8" customFormat="1" x14ac:dyDescent="0.2">
      <c r="A181" s="145">
        <v>3224</v>
      </c>
      <c r="B181" s="146" t="s">
        <v>2236</v>
      </c>
      <c r="C181" s="345">
        <v>170</v>
      </c>
      <c r="D181" s="149">
        <v>14139</v>
      </c>
      <c r="E181" s="149">
        <v>17996</v>
      </c>
      <c r="F181" s="148">
        <f t="shared" si="2"/>
        <v>127.27915694179221</v>
      </c>
    </row>
    <row r="182" spans="1:6" s="8" customFormat="1" x14ac:dyDescent="0.2">
      <c r="A182" s="145">
        <v>3225</v>
      </c>
      <c r="B182" s="146" t="s">
        <v>504</v>
      </c>
      <c r="C182" s="345">
        <v>171</v>
      </c>
      <c r="D182" s="149">
        <v>22453</v>
      </c>
      <c r="E182" s="149">
        <v>27458</v>
      </c>
      <c r="F182" s="148">
        <f t="shared" si="2"/>
        <v>122.29100788313364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1720</v>
      </c>
      <c r="E184" s="149">
        <v>2968</v>
      </c>
      <c r="F184" s="148">
        <f t="shared" si="2"/>
        <v>172.55813953488374</v>
      </c>
    </row>
    <row r="185" spans="1:6" s="8" customFormat="1" x14ac:dyDescent="0.2">
      <c r="A185" s="145">
        <v>323</v>
      </c>
      <c r="B185" s="146" t="s">
        <v>2312</v>
      </c>
      <c r="C185" s="345">
        <v>174</v>
      </c>
      <c r="D185" s="147">
        <f>SUM(D186:D194)</f>
        <v>176669</v>
      </c>
      <c r="E185" s="147">
        <f>SUM(E186:E194)</f>
        <v>219465</v>
      </c>
      <c r="F185" s="150">
        <f t="shared" si="2"/>
        <v>124.22383100600558</v>
      </c>
    </row>
    <row r="186" spans="1:6" s="8" customFormat="1" x14ac:dyDescent="0.2">
      <c r="A186" s="145">
        <v>3231</v>
      </c>
      <c r="B186" s="146" t="s">
        <v>855</v>
      </c>
      <c r="C186" s="345">
        <v>175</v>
      </c>
      <c r="D186" s="149">
        <v>16093</v>
      </c>
      <c r="E186" s="149">
        <v>61480</v>
      </c>
      <c r="F186" s="148">
        <f t="shared" si="2"/>
        <v>382.02945379978871</v>
      </c>
    </row>
    <row r="187" spans="1:6" s="8" customFormat="1" x14ac:dyDescent="0.2">
      <c r="A187" s="145">
        <v>3232</v>
      </c>
      <c r="B187" s="146" t="s">
        <v>3870</v>
      </c>
      <c r="C187" s="345">
        <v>176</v>
      </c>
      <c r="D187" s="149">
        <v>54956</v>
      </c>
      <c r="E187" s="149">
        <v>29188</v>
      </c>
      <c r="F187" s="148">
        <f t="shared" si="2"/>
        <v>53.111580173229491</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56908</v>
      </c>
      <c r="E189" s="149">
        <v>56912</v>
      </c>
      <c r="F189" s="148">
        <f t="shared" si="2"/>
        <v>100.00702888873269</v>
      </c>
    </row>
    <row r="190" spans="1:6" s="8" customFormat="1" x14ac:dyDescent="0.2">
      <c r="A190" s="145">
        <v>3235</v>
      </c>
      <c r="B190" s="146" t="s">
        <v>3873</v>
      </c>
      <c r="C190" s="345">
        <v>179</v>
      </c>
      <c r="D190" s="149">
        <v>0</v>
      </c>
      <c r="E190" s="149"/>
      <c r="F190" s="148" t="str">
        <f t="shared" si="2"/>
        <v>-</v>
      </c>
    </row>
    <row r="191" spans="1:6" s="8" customFormat="1" x14ac:dyDescent="0.2">
      <c r="A191" s="145">
        <v>3236</v>
      </c>
      <c r="B191" s="146" t="s">
        <v>3874</v>
      </c>
      <c r="C191" s="345">
        <v>180</v>
      </c>
      <c r="D191" s="149">
        <v>18654</v>
      </c>
      <c r="E191" s="149">
        <v>12225</v>
      </c>
      <c r="F191" s="148">
        <f t="shared" si="2"/>
        <v>65.535541974911553</v>
      </c>
    </row>
    <row r="192" spans="1:6" s="8" customFormat="1" x14ac:dyDescent="0.2">
      <c r="A192" s="145">
        <v>3237</v>
      </c>
      <c r="B192" s="146" t="s">
        <v>3875</v>
      </c>
      <c r="C192" s="345">
        <v>181</v>
      </c>
      <c r="D192" s="149">
        <v>20635</v>
      </c>
      <c r="E192" s="149">
        <v>14243</v>
      </c>
      <c r="F192" s="148">
        <f t="shared" si="2"/>
        <v>69.023503755754788</v>
      </c>
    </row>
    <row r="193" spans="1:6" s="8" customFormat="1" x14ac:dyDescent="0.2">
      <c r="A193" s="145">
        <v>3238</v>
      </c>
      <c r="B193" s="146" t="s">
        <v>702</v>
      </c>
      <c r="C193" s="345">
        <v>182</v>
      </c>
      <c r="D193" s="149">
        <v>675</v>
      </c>
      <c r="E193" s="149">
        <v>675</v>
      </c>
      <c r="F193" s="148">
        <f t="shared" si="2"/>
        <v>100</v>
      </c>
    </row>
    <row r="194" spans="1:6" s="8" customFormat="1" x14ac:dyDescent="0.2">
      <c r="A194" s="145">
        <v>3239</v>
      </c>
      <c r="B194" s="146" t="s">
        <v>703</v>
      </c>
      <c r="C194" s="345">
        <v>183</v>
      </c>
      <c r="D194" s="149">
        <v>8748</v>
      </c>
      <c r="E194" s="149">
        <v>44742</v>
      </c>
      <c r="F194" s="148">
        <f t="shared" si="2"/>
        <v>511.45404663923182</v>
      </c>
    </row>
    <row r="195" spans="1:6" s="8" customFormat="1" x14ac:dyDescent="0.2">
      <c r="A195" s="145">
        <v>324</v>
      </c>
      <c r="B195" s="146" t="s">
        <v>3584</v>
      </c>
      <c r="C195" s="345">
        <v>184</v>
      </c>
      <c r="D195" s="149">
        <v>50939</v>
      </c>
      <c r="E195" s="149">
        <v>31861</v>
      </c>
      <c r="F195" s="148">
        <f t="shared" si="2"/>
        <v>62.547360568523139</v>
      </c>
    </row>
    <row r="196" spans="1:6" s="8" customFormat="1" x14ac:dyDescent="0.2">
      <c r="A196" s="145">
        <v>329</v>
      </c>
      <c r="B196" s="146" t="s">
        <v>434</v>
      </c>
      <c r="C196" s="345">
        <v>185</v>
      </c>
      <c r="D196" s="147">
        <f>SUM(D197:D203)</f>
        <v>81621</v>
      </c>
      <c r="E196" s="147">
        <f>SUM(E197:E203)</f>
        <v>28131</v>
      </c>
      <c r="F196" s="150">
        <f t="shared" si="2"/>
        <v>34.465394935126994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660</v>
      </c>
      <c r="E199" s="149">
        <v>3003</v>
      </c>
      <c r="F199" s="148">
        <f t="shared" si="2"/>
        <v>455</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21622</v>
      </c>
      <c r="E201" s="149">
        <v>6121</v>
      </c>
      <c r="F201" s="148">
        <f t="shared" si="2"/>
        <v>28.309129590232168</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59339</v>
      </c>
      <c r="E203" s="149">
        <v>19007</v>
      </c>
      <c r="F203" s="148">
        <f t="shared" si="2"/>
        <v>32.031210502367749</v>
      </c>
    </row>
    <row r="204" spans="1:6" s="8" customFormat="1" x14ac:dyDescent="0.2">
      <c r="A204" s="145">
        <v>34</v>
      </c>
      <c r="B204" s="151" t="s">
        <v>435</v>
      </c>
      <c r="C204" s="345">
        <v>193</v>
      </c>
      <c r="D204" s="147">
        <f>D205+D210+D218</f>
        <v>3675</v>
      </c>
      <c r="E204" s="147">
        <f>E205+E210+E218</f>
        <v>3256</v>
      </c>
      <c r="F204" s="150">
        <f t="shared" si="2"/>
        <v>88.598639455782319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3675</v>
      </c>
      <c r="E218" s="147">
        <f>SUM(E219:E222)</f>
        <v>3256</v>
      </c>
      <c r="F218" s="150">
        <f t="shared" si="3"/>
        <v>88.598639455782319</v>
      </c>
    </row>
    <row r="219" spans="1:6" s="8" customFormat="1" x14ac:dyDescent="0.2">
      <c r="A219" s="145">
        <v>3431</v>
      </c>
      <c r="B219" s="151" t="s">
        <v>3587</v>
      </c>
      <c r="C219" s="345">
        <v>208</v>
      </c>
      <c r="D219" s="149">
        <v>3675</v>
      </c>
      <c r="E219" s="149">
        <v>3256</v>
      </c>
      <c r="F219" s="148">
        <f t="shared" si="3"/>
        <v>88.598639455782319</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8999990</v>
      </c>
      <c r="E292" s="147">
        <f>E159-E290+E291</f>
        <v>9317115</v>
      </c>
      <c r="F292" s="150">
        <f t="shared" si="4"/>
        <v>103.52361502623893</v>
      </c>
    </row>
    <row r="293" spans="1:6" s="8" customFormat="1" x14ac:dyDescent="0.2">
      <c r="A293" s="145" t="s">
        <v>1215</v>
      </c>
      <c r="B293" s="146" t="s">
        <v>3441</v>
      </c>
      <c r="C293" s="345">
        <v>282</v>
      </c>
      <c r="D293" s="147">
        <f>IF(D12&gt;=D292,D12-D292,0)</f>
        <v>97004</v>
      </c>
      <c r="E293" s="147">
        <f>IF(E12&gt;=E292,E12-E292,0)</f>
        <v>188642</v>
      </c>
      <c r="F293" s="150">
        <f t="shared" si="4"/>
        <v>194.46826934971756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2215</v>
      </c>
      <c r="F295" s="148" t="str">
        <f t="shared" si="4"/>
        <v>-</v>
      </c>
    </row>
    <row r="296" spans="1:6" s="8" customFormat="1" x14ac:dyDescent="0.2">
      <c r="A296" s="145">
        <v>92221</v>
      </c>
      <c r="B296" s="146" t="s">
        <v>4282</v>
      </c>
      <c r="C296" s="345">
        <v>285</v>
      </c>
      <c r="D296" s="149">
        <v>17051</v>
      </c>
      <c r="E296" s="149">
        <v>0</v>
      </c>
      <c r="F296" s="148">
        <f t="shared" si="4"/>
        <v>0</v>
      </c>
    </row>
    <row r="297" spans="1:6" s="8" customFormat="1" x14ac:dyDescent="0.2">
      <c r="A297" s="145">
        <v>96</v>
      </c>
      <c r="B297" s="146" t="s">
        <v>4284</v>
      </c>
      <c r="C297" s="345">
        <v>286</v>
      </c>
      <c r="D297" s="149">
        <v>288</v>
      </c>
      <c r="E297" s="149">
        <v>1152</v>
      </c>
      <c r="F297" s="148">
        <f t="shared" si="4"/>
        <v>400</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v>10742</v>
      </c>
      <c r="E299" s="158"/>
      <c r="F299" s="159">
        <f t="shared" si="4"/>
        <v>0</v>
      </c>
    </row>
    <row r="300" spans="1:6" s="8" customFormat="1" ht="15" customHeight="1" x14ac:dyDescent="0.2">
      <c r="A300" s="352" t="s">
        <v>3443</v>
      </c>
      <c r="B300" s="353"/>
      <c r="C300" s="348"/>
      <c r="D300" s="143"/>
      <c r="E300" s="143"/>
      <c r="F300" s="144"/>
    </row>
    <row r="301" spans="1:6" s="8" customFormat="1" x14ac:dyDescent="0.2">
      <c r="A301" s="145">
        <v>7</v>
      </c>
      <c r="B301" s="146" t="s">
        <v>3237</v>
      </c>
      <c r="C301" s="345">
        <v>289</v>
      </c>
      <c r="D301" s="147">
        <f>D302+D314+D347+D351</f>
        <v>0</v>
      </c>
      <c r="E301" s="147">
        <f>E302+E314+E347+E351</f>
        <v>273</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273</v>
      </c>
      <c r="F314" s="150" t="str">
        <f t="shared" si="5"/>
        <v>-</v>
      </c>
    </row>
    <row r="315" spans="1:6" s="8" customFormat="1" x14ac:dyDescent="0.2">
      <c r="A315" s="145">
        <v>721</v>
      </c>
      <c r="B315" s="146" t="s">
        <v>3242</v>
      </c>
      <c r="C315" s="345">
        <v>303</v>
      </c>
      <c r="D315" s="147">
        <f>SUM(D316:D319)</f>
        <v>0</v>
      </c>
      <c r="E315" s="147">
        <f>SUM(E316:E319)</f>
        <v>273</v>
      </c>
      <c r="F315" s="150" t="str">
        <f t="shared" si="5"/>
        <v>-</v>
      </c>
    </row>
    <row r="316" spans="1:6" s="8" customFormat="1" x14ac:dyDescent="0.2">
      <c r="A316" s="145">
        <v>7211</v>
      </c>
      <c r="B316" s="146" t="s">
        <v>382</v>
      </c>
      <c r="C316" s="345">
        <v>304</v>
      </c>
      <c r="D316" s="149"/>
      <c r="E316" s="149">
        <v>273</v>
      </c>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86187</v>
      </c>
      <c r="E353" s="147">
        <f>E354+E366+E399+E403+E405</f>
        <v>104588</v>
      </c>
      <c r="F353" s="150">
        <f t="shared" si="5"/>
        <v>121.35008760021813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86187</v>
      </c>
      <c r="E366" s="147">
        <f>E367+E372+E381+E386+E391+E394</f>
        <v>104588</v>
      </c>
      <c r="F366" s="150">
        <f t="shared" si="6"/>
        <v>121.35008760021813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51980</v>
      </c>
      <c r="E372" s="147">
        <f>SUM(E373:E380)</f>
        <v>72620</v>
      </c>
      <c r="F372" s="150">
        <f t="shared" si="6"/>
        <v>139.7075798383994</v>
      </c>
    </row>
    <row r="373" spans="1:6" s="8" customFormat="1" x14ac:dyDescent="0.2">
      <c r="A373" s="145">
        <v>4221</v>
      </c>
      <c r="B373" s="146" t="s">
        <v>3941</v>
      </c>
      <c r="C373" s="345">
        <v>361</v>
      </c>
      <c r="D373" s="149">
        <v>51980</v>
      </c>
      <c r="E373" s="149">
        <v>12995</v>
      </c>
      <c r="F373" s="148">
        <f t="shared" si="6"/>
        <v>25</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59625</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34207</v>
      </c>
      <c r="E386" s="147">
        <f>SUM(E387:E390)</f>
        <v>31968</v>
      </c>
      <c r="F386" s="150">
        <f t="shared" si="6"/>
        <v>93.454556085011845</v>
      </c>
    </row>
    <row r="387" spans="1:6" s="8" customFormat="1" x14ac:dyDescent="0.2">
      <c r="A387" s="145">
        <v>4241</v>
      </c>
      <c r="B387" s="146" t="s">
        <v>2886</v>
      </c>
      <c r="C387" s="345">
        <v>375</v>
      </c>
      <c r="D387" s="149">
        <v>34207</v>
      </c>
      <c r="E387" s="149">
        <v>31968</v>
      </c>
      <c r="F387" s="148">
        <f t="shared" si="6"/>
        <v>93.454556085011845</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86187</v>
      </c>
      <c r="E411" s="147">
        <f>IF(E353&gt;=E301, E353-E301, 0)</f>
        <v>104315</v>
      </c>
      <c r="F411" s="150">
        <f t="shared" si="6"/>
        <v>121.03333449360112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9096994</v>
      </c>
      <c r="E415" s="147">
        <f>E12+E301</f>
        <v>9506030</v>
      </c>
      <c r="F415" s="150">
        <f t="shared" si="6"/>
        <v>104.49638638873458</v>
      </c>
    </row>
    <row r="416" spans="1:6" s="8" customFormat="1" x14ac:dyDescent="0.2">
      <c r="A416" s="145" t="s">
        <v>1215</v>
      </c>
      <c r="B416" s="146" t="s">
        <v>1993</v>
      </c>
      <c r="C416" s="345">
        <v>404</v>
      </c>
      <c r="D416" s="147">
        <f>D292+D353</f>
        <v>9086177</v>
      </c>
      <c r="E416" s="147">
        <f>E292+E353</f>
        <v>9421703</v>
      </c>
      <c r="F416" s="150">
        <f t="shared" si="6"/>
        <v>103.69270816538132</v>
      </c>
    </row>
    <row r="417" spans="1:6" s="8" customFormat="1" x14ac:dyDescent="0.2">
      <c r="A417" s="145" t="s">
        <v>1215</v>
      </c>
      <c r="B417" s="146" t="s">
        <v>1994</v>
      </c>
      <c r="C417" s="345">
        <v>405</v>
      </c>
      <c r="D417" s="147">
        <f>IF(D415&gt;=D416,D415-D416,0)</f>
        <v>10817</v>
      </c>
      <c r="E417" s="147">
        <f>IF(E415&gt;=E416,E415-E416,0)</f>
        <v>84327</v>
      </c>
      <c r="F417" s="150">
        <f t="shared" si="6"/>
        <v>779.57844134233153</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2215</v>
      </c>
      <c r="F419" s="150" t="str">
        <f t="shared" si="6"/>
        <v>-</v>
      </c>
    </row>
    <row r="420" spans="1:6" s="8" customFormat="1" x14ac:dyDescent="0.2">
      <c r="A420" s="160" t="s">
        <v>1592</v>
      </c>
      <c r="B420" s="146" t="s">
        <v>1997</v>
      </c>
      <c r="C420" s="345">
        <v>408</v>
      </c>
      <c r="D420" s="147">
        <f>IF(D296-D295+D413-D412&gt;=0,D296-D295+D413-D412,0)</f>
        <v>17051</v>
      </c>
      <c r="E420" s="147">
        <f>IF(E296-E295+E413-E412&gt;=0,E296-E295+E413-E412,0)</f>
        <v>0</v>
      </c>
      <c r="F420" s="150">
        <f t="shared" si="6"/>
        <v>0</v>
      </c>
    </row>
    <row r="421" spans="1:6" s="8" customFormat="1" x14ac:dyDescent="0.2">
      <c r="A421" s="156" t="s">
        <v>1593</v>
      </c>
      <c r="B421" s="157" t="s">
        <v>1998</v>
      </c>
      <c r="C421" s="347">
        <v>409</v>
      </c>
      <c r="D421" s="161">
        <f>D297+D414</f>
        <v>288</v>
      </c>
      <c r="E421" s="161">
        <f>E297+E414</f>
        <v>1152</v>
      </c>
      <c r="F421" s="162">
        <f t="shared" si="6"/>
        <v>400</v>
      </c>
    </row>
    <row r="422" spans="1:6" s="8" customFormat="1" ht="15" customHeight="1" x14ac:dyDescent="0.2">
      <c r="A422" s="352" t="s">
        <v>1999</v>
      </c>
      <c r="B422" s="35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9096994</v>
      </c>
      <c r="E642" s="147">
        <f>E415+E423</f>
        <v>9506030</v>
      </c>
      <c r="F642" s="148">
        <f t="shared" si="10"/>
        <v>104.49638638873458</v>
      </c>
    </row>
    <row r="643" spans="1:6" s="8" customFormat="1" x14ac:dyDescent="0.2">
      <c r="A643" s="145" t="s">
        <v>1215</v>
      </c>
      <c r="B643" s="146" t="s">
        <v>1246</v>
      </c>
      <c r="C643" s="345">
        <v>630</v>
      </c>
      <c r="D643" s="147">
        <f>D416+D531</f>
        <v>9086177</v>
      </c>
      <c r="E643" s="147">
        <f>E416+E531</f>
        <v>9421703</v>
      </c>
      <c r="F643" s="148">
        <f t="shared" si="10"/>
        <v>103.69270816538132</v>
      </c>
    </row>
    <row r="644" spans="1:6" s="8" customFormat="1" x14ac:dyDescent="0.2">
      <c r="A644" s="145" t="s">
        <v>1215</v>
      </c>
      <c r="B644" s="146" t="s">
        <v>1247</v>
      </c>
      <c r="C644" s="345">
        <v>631</v>
      </c>
      <c r="D644" s="147">
        <f>IF(D642&gt;=D643,D642-D643,0)</f>
        <v>10817</v>
      </c>
      <c r="E644" s="147">
        <f>IF(E642&gt;=E643,E642-E643,0)</f>
        <v>84327</v>
      </c>
      <c r="F644" s="148">
        <f t="shared" si="10"/>
        <v>779.57844134233153</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2215</v>
      </c>
      <c r="F646" s="148" t="str">
        <f t="shared" si="10"/>
        <v>-</v>
      </c>
    </row>
    <row r="647" spans="1:6" s="8" customFormat="1" x14ac:dyDescent="0.2">
      <c r="A647" s="160" t="s">
        <v>2742</v>
      </c>
      <c r="B647" s="146" t="s">
        <v>1250</v>
      </c>
      <c r="C647" s="345">
        <v>634</v>
      </c>
      <c r="D647" s="147">
        <f>IF(D420-D419+D641-D640&gt;=0,D420-D419+D641-D640,0)</f>
        <v>17051</v>
      </c>
      <c r="E647" s="147">
        <f>IF(E420-E419+E641-E640&gt;=0,E420-E419+E641-E640,0)</f>
        <v>0</v>
      </c>
      <c r="F647" s="148">
        <f t="shared" si="10"/>
        <v>0</v>
      </c>
    </row>
    <row r="648" spans="1:6" s="8" customFormat="1" x14ac:dyDescent="0.2">
      <c r="A648" s="145" t="s">
        <v>1215</v>
      </c>
      <c r="B648" s="146" t="s">
        <v>1251</v>
      </c>
      <c r="C648" s="345">
        <v>635</v>
      </c>
      <c r="D648" s="147">
        <f>IF(D644+D646-D645-D647&gt;=0,D644+D646-D645-D647,0)</f>
        <v>0</v>
      </c>
      <c r="E648" s="147">
        <f>IF(E644+E646-E645-E647&gt;=0,E644+E646-E645-E647,0)</f>
        <v>86542</v>
      </c>
      <c r="F648" s="148" t="str">
        <f t="shared" si="10"/>
        <v>-</v>
      </c>
    </row>
    <row r="649" spans="1:6" s="8" customFormat="1" x14ac:dyDescent="0.2">
      <c r="A649" s="145" t="s">
        <v>1215</v>
      </c>
      <c r="B649" s="146" t="s">
        <v>176</v>
      </c>
      <c r="C649" s="345">
        <v>636</v>
      </c>
      <c r="D649" s="147">
        <f>IF(D645+D647-D644-D646&gt;=0,D645+D647-D644-D646,0)</f>
        <v>6234</v>
      </c>
      <c r="E649" s="147">
        <f>IF(E645+E647-E644-E646&gt;=0,E645+E647-E644-E646,0)</f>
        <v>0</v>
      </c>
      <c r="F649" s="148">
        <f t="shared" si="10"/>
        <v>0</v>
      </c>
    </row>
    <row r="650" spans="1:6" s="8" customFormat="1" ht="24" x14ac:dyDescent="0.2">
      <c r="A650" s="156" t="s">
        <v>3810</v>
      </c>
      <c r="B650" s="157" t="s">
        <v>177</v>
      </c>
      <c r="C650" s="347">
        <v>637</v>
      </c>
      <c r="D650" s="158">
        <v>676459</v>
      </c>
      <c r="E650" s="158"/>
      <c r="F650" s="159">
        <f t="shared" si="10"/>
        <v>0</v>
      </c>
    </row>
    <row r="651" spans="1:6" s="8" customFormat="1" ht="15" customHeight="1" x14ac:dyDescent="0.2">
      <c r="A651" s="352" t="s">
        <v>178</v>
      </c>
      <c r="B651" s="353"/>
      <c r="C651" s="348"/>
      <c r="D651" s="143"/>
      <c r="E651" s="143"/>
      <c r="F651" s="144"/>
    </row>
    <row r="652" spans="1:6" s="8" customFormat="1" x14ac:dyDescent="0.2">
      <c r="A652" s="145">
        <v>11</v>
      </c>
      <c r="B652" s="146" t="s">
        <v>1207</v>
      </c>
      <c r="C652" s="345">
        <v>638</v>
      </c>
      <c r="D652" s="149">
        <v>60296</v>
      </c>
      <c r="E652" s="149">
        <v>63766</v>
      </c>
      <c r="F652" s="148">
        <f t="shared" ref="F652:F677" si="11">IF(D652&lt;&gt;0,IF(E652/D652&gt;=100,"&gt;&gt;100",E652/D652*100),"-")</f>
        <v>105.75494228472868</v>
      </c>
    </row>
    <row r="653" spans="1:6" s="8" customFormat="1" x14ac:dyDescent="0.2">
      <c r="A653" s="145" t="s">
        <v>1208</v>
      </c>
      <c r="B653" s="146" t="s">
        <v>2750</v>
      </c>
      <c r="C653" s="345">
        <v>639</v>
      </c>
      <c r="D653" s="149">
        <v>9886679</v>
      </c>
      <c r="E653" s="149">
        <v>8987874</v>
      </c>
      <c r="F653" s="148">
        <f t="shared" si="11"/>
        <v>90.908929075172765</v>
      </c>
    </row>
    <row r="654" spans="1:6" s="8" customFormat="1" x14ac:dyDescent="0.2">
      <c r="A654" s="145" t="s">
        <v>1209</v>
      </c>
      <c r="B654" s="146" t="s">
        <v>3586</v>
      </c>
      <c r="C654" s="345">
        <v>640</v>
      </c>
      <c r="D654" s="149">
        <v>9883209</v>
      </c>
      <c r="E654" s="149">
        <v>8868232</v>
      </c>
      <c r="F654" s="148">
        <f t="shared" si="11"/>
        <v>89.730289018475688</v>
      </c>
    </row>
    <row r="655" spans="1:6" s="8" customFormat="1" x14ac:dyDescent="0.2">
      <c r="A655" s="145">
        <v>11</v>
      </c>
      <c r="B655" s="146" t="s">
        <v>181</v>
      </c>
      <c r="C655" s="345">
        <v>641</v>
      </c>
      <c r="D655" s="147">
        <f>+D652+D653-D654</f>
        <v>63766</v>
      </c>
      <c r="E655" s="147">
        <f>+E652+E653-E654</f>
        <v>183408</v>
      </c>
      <c r="F655" s="150">
        <f t="shared" si="11"/>
        <v>287.62663488379388</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74</v>
      </c>
      <c r="E657" s="149">
        <v>74</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65</v>
      </c>
      <c r="E659" s="149">
        <v>65</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38865</v>
      </c>
      <c r="E672" s="149">
        <v>36441</v>
      </c>
      <c r="F672" s="148">
        <f t="shared" si="11"/>
        <v>93.763025858741798</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8123603</v>
      </c>
      <c r="E678" s="149">
        <v>8437456</v>
      </c>
      <c r="F678" s="148"/>
    </row>
    <row r="679" spans="1:6" s="8" customFormat="1" x14ac:dyDescent="0.2">
      <c r="A679" s="152">
        <v>63613</v>
      </c>
      <c r="B679" s="163" t="s">
        <v>4078</v>
      </c>
      <c r="C679" s="345">
        <v>665</v>
      </c>
      <c r="D679" s="149">
        <v>2500</v>
      </c>
      <c r="E679" s="149">
        <v>6500</v>
      </c>
      <c r="F679" s="148"/>
    </row>
    <row r="680" spans="1:6" s="8" customFormat="1" x14ac:dyDescent="0.2">
      <c r="A680" s="152">
        <v>63622</v>
      </c>
      <c r="B680" s="163" t="s">
        <v>4079</v>
      </c>
      <c r="C680" s="345">
        <v>666</v>
      </c>
      <c r="D680" s="149"/>
      <c r="E680" s="149">
        <v>115000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63601</v>
      </c>
      <c r="E698" s="149">
        <v>95655</v>
      </c>
      <c r="F698" s="148">
        <f t="shared" si="12"/>
        <v>150.39857863870066</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11976</v>
      </c>
      <c r="E701" s="149">
        <v>23952</v>
      </c>
      <c r="F701" s="148">
        <f>IF(D701&lt;&gt;0,IF(E701/D701&gt;=100,"&gt;&gt;100",E701/D701*100),"-")</f>
        <v>200</v>
      </c>
    </row>
    <row r="702" spans="1:6" s="8" customFormat="1" x14ac:dyDescent="0.2">
      <c r="A702" s="145">
        <v>31215</v>
      </c>
      <c r="B702" s="146" t="s">
        <v>1641</v>
      </c>
      <c r="C702" s="345">
        <v>688</v>
      </c>
      <c r="D702" s="149">
        <v>32765</v>
      </c>
      <c r="E702" s="149">
        <v>3655</v>
      </c>
      <c r="F702" s="148">
        <f>IF(D702&lt;&gt;0,IF(E702/D702&gt;=100,"&gt;&gt;100",E702/D702*100),"-")</f>
        <v>11.155196093392339</v>
      </c>
    </row>
    <row r="703" spans="1:6" s="8" customFormat="1" x14ac:dyDescent="0.2">
      <c r="A703" s="145">
        <v>32121</v>
      </c>
      <c r="B703" s="146" t="s">
        <v>3797</v>
      </c>
      <c r="C703" s="345">
        <v>689</v>
      </c>
      <c r="D703" s="149">
        <v>159817</v>
      </c>
      <c r="E703" s="149">
        <v>154166</v>
      </c>
      <c r="F703" s="148">
        <f>IF(D703&lt;&gt;0,IF(E703/D703&gt;=100,"&gt;&gt;100",E703/D703*100),"-")</f>
        <v>96.464080792406321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18654</v>
      </c>
      <c r="E705" s="149">
        <v>12225</v>
      </c>
      <c r="F705" s="148">
        <f>IF(D705&lt;&gt;0,IF(E705/D705&gt;=100,"&gt;&gt;100",E705/D705*100),"-")</f>
        <v>65.535541974911553</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20635</v>
      </c>
      <c r="E707" s="149">
        <v>14243</v>
      </c>
      <c r="F707" s="148">
        <f>IF(D707&lt;&gt;0,IF(E707/D707&gt;=100,"&gt;&gt;100",E707/D707*100),"-")</f>
        <v>69.023503755754788</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v>0</v>
      </c>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354" t="s">
        <v>3065</v>
      </c>
      <c r="B982" s="35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351" t="s">
        <v>1067</v>
      </c>
      <c r="E994" s="351"/>
    </row>
    <row r="995" spans="1:5" ht="15" customHeight="1" x14ac:dyDescent="0.2">
      <c r="A995" s="291" t="str">
        <f>IF(RefStr!H25&lt;&gt;"", "Osoba za kontaktiranje: " &amp; RefStr!H25,"Osoba za kontaktiranje: _________________________________________")</f>
        <v>Osoba za kontaktiranje: ANA MIJAĆANK</v>
      </c>
      <c r="D995" s="293"/>
      <c r="E995" s="293"/>
    </row>
    <row r="996" spans="1:5" ht="15" customHeight="1" x14ac:dyDescent="0.2">
      <c r="A996" s="291" t="str">
        <f>IF(RefStr!H27="","Telefon za kontakt: _________________","Telefon za kontakt: " &amp; RefStr!H27)</f>
        <v>Telefon za kontakt: 031 207 088</v>
      </c>
      <c r="C996" s="292"/>
    </row>
    <row r="997" spans="1:5" ht="15" customHeight="1" x14ac:dyDescent="0.2">
      <c r="A997" s="291" t="str">
        <f>IF(RefStr!H33="","Odgovorna osoba: _____________________________","Odgovorna osoba: " &amp; RefStr!H33)</f>
        <v>Odgovorna osoba: DRAŽEN JAKOPOVIĆ,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5" priority="3" stopIfTrue="1" operator="notEqual">
      <formula>ROUND(D15,0)</formula>
    </cfRule>
    <cfRule type="cellIs" dxfId="24" priority="4" stopIfTrue="1" operator="lessThan">
      <formula>0</formula>
    </cfRule>
  </conditionalFormatting>
  <conditionalFormatting sqref="C8">
    <cfRule type="cellIs" dxfId="23" priority="1" stopIfTrue="1" operator="equal">
      <formula>"Obrazac ima još nezadovoljenih kontrola, provjerite radni list Kontrole"</formula>
    </cfRule>
  </conditionalFormatting>
  <conditionalFormatting sqref="A3 E3:F3">
    <cfRule type="cellIs" dxfId="22"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0" activePane="bottomLeft" state="frozen"/>
      <selection pane="bottomLeft" activeCell="C35" sqref="C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25" t="s">
        <v>1561</v>
      </c>
      <c r="B1" s="426"/>
      <c r="C1" s="416" t="s">
        <v>2063</v>
      </c>
      <c r="D1" s="416"/>
      <c r="E1" s="416" t="s">
        <v>2064</v>
      </c>
      <c r="F1" s="416"/>
      <c r="G1" s="416" t="s">
        <v>2065</v>
      </c>
      <c r="H1" s="416"/>
      <c r="I1" s="416"/>
      <c r="J1" s="416" t="s">
        <v>1740</v>
      </c>
      <c r="K1" s="417"/>
    </row>
    <row r="2" spans="1:11" ht="32.1" customHeight="1" x14ac:dyDescent="0.2">
      <c r="A2" s="18"/>
      <c r="B2" s="18"/>
      <c r="C2" s="18"/>
      <c r="D2" s="18"/>
      <c r="E2" s="18"/>
      <c r="F2" s="18"/>
      <c r="H2" s="102">
        <f>LOOKUP(B22,A107:A663,C107:C663)</f>
        <v>14</v>
      </c>
      <c r="I2" s="18"/>
      <c r="J2" s="418" t="s">
        <v>3715</v>
      </c>
      <c r="K2" s="418"/>
    </row>
    <row r="3" spans="1:11" ht="5.0999999999999996" customHeight="1" x14ac:dyDescent="0.2">
      <c r="B3" s="4"/>
      <c r="C3" s="4"/>
      <c r="D3" s="4"/>
      <c r="E3" s="4"/>
      <c r="F3" s="4"/>
      <c r="G3" s="4"/>
      <c r="H3" s="4"/>
      <c r="I3" s="4"/>
    </row>
    <row r="4" spans="1:11" ht="35.1" customHeight="1" x14ac:dyDescent="0.4">
      <c r="A4" s="419" t="s">
        <v>3518</v>
      </c>
      <c r="B4" s="419"/>
      <c r="C4" s="419"/>
      <c r="D4" s="419"/>
      <c r="E4" s="419"/>
      <c r="F4" s="419"/>
      <c r="G4" s="419"/>
      <c r="H4" s="419"/>
      <c r="I4" s="419"/>
      <c r="J4" s="419"/>
      <c r="K4" s="419"/>
    </row>
    <row r="5" spans="1:11" ht="39.950000000000003" customHeight="1" x14ac:dyDescent="0.2">
      <c r="A5" s="430" t="str">
        <f>IF(AND(K10&lt;&gt;"",K12&lt;&gt;""), "za razdoblje: " &amp; TEXT(K10, "d. mmmm yyyy.") &amp; "   –   " &amp; TEXT(K12, "d. mmmm yyyy."),"za razdoblje od ________________ do ______________")</f>
        <v>za razdoblje: 1. siječanj 2018.   –   31. prosinac 2018.</v>
      </c>
      <c r="B5" s="430"/>
      <c r="C5" s="430"/>
      <c r="D5" s="430"/>
      <c r="E5" s="430"/>
      <c r="F5" s="430"/>
      <c r="G5" s="430"/>
      <c r="H5" s="430"/>
      <c r="I5" s="430"/>
      <c r="J5" s="430"/>
      <c r="K5" s="430"/>
    </row>
    <row r="6" spans="1:11" ht="15" customHeight="1" x14ac:dyDescent="0.2">
      <c r="A6" s="22" t="s">
        <v>3124</v>
      </c>
      <c r="B6" s="26">
        <v>17941</v>
      </c>
      <c r="C6" s="12"/>
      <c r="D6" s="423" t="s">
        <v>3128</v>
      </c>
      <c r="E6" s="424"/>
      <c r="F6" s="15" t="s">
        <v>237</v>
      </c>
      <c r="G6" s="12"/>
      <c r="H6" s="12"/>
      <c r="I6" s="12"/>
      <c r="J6" s="431">
        <f>SUM(Skriveni!G2:G1561)</f>
        <v>167018163.22500008</v>
      </c>
      <c r="K6" s="431"/>
    </row>
    <row r="7" spans="1:11" ht="3" customHeight="1" x14ac:dyDescent="0.2">
      <c r="A7" s="12"/>
      <c r="B7" s="12"/>
      <c r="C7" s="12"/>
      <c r="D7" s="12"/>
      <c r="E7" s="12"/>
      <c r="F7" s="12"/>
      <c r="G7" s="12"/>
      <c r="H7" s="12"/>
      <c r="I7" s="12"/>
      <c r="J7" s="12"/>
      <c r="K7" s="12"/>
    </row>
    <row r="8" spans="1:11" ht="15" customHeight="1" x14ac:dyDescent="0.2">
      <c r="A8" s="22" t="s">
        <v>3125</v>
      </c>
      <c r="B8" s="27">
        <v>240664</v>
      </c>
      <c r="C8" s="427" t="s">
        <v>860</v>
      </c>
      <c r="D8" s="428"/>
      <c r="E8" s="428"/>
      <c r="F8" s="428"/>
      <c r="G8" s="428"/>
      <c r="H8" s="429"/>
      <c r="I8" s="167" t="s">
        <v>867</v>
      </c>
      <c r="J8" s="432" t="s">
        <v>3132</v>
      </c>
      <c r="K8" s="432"/>
    </row>
    <row r="9" spans="1:11" ht="3" customHeight="1" x14ac:dyDescent="0.2">
      <c r="A9" s="12"/>
      <c r="B9" s="12"/>
      <c r="C9" s="12"/>
      <c r="D9" s="12"/>
      <c r="E9" s="12"/>
      <c r="F9" s="12"/>
      <c r="G9" s="12"/>
      <c r="H9" s="12"/>
      <c r="I9" s="12"/>
      <c r="J9" s="12"/>
      <c r="K9" s="12"/>
    </row>
    <row r="10" spans="1:11" ht="15" customHeight="1" x14ac:dyDescent="0.2">
      <c r="A10" s="22" t="s">
        <v>3126</v>
      </c>
      <c r="B10" s="396" t="s">
        <v>4293</v>
      </c>
      <c r="C10" s="397"/>
      <c r="D10" s="397"/>
      <c r="E10" s="397"/>
      <c r="F10" s="397"/>
      <c r="G10" s="397"/>
      <c r="H10" s="397"/>
      <c r="I10" s="398"/>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31000</v>
      </c>
      <c r="C12" s="420" t="s">
        <v>2399</v>
      </c>
      <c r="D12" s="421"/>
      <c r="E12" s="421"/>
      <c r="F12" s="421"/>
      <c r="G12" s="422"/>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99" t="s">
        <v>4294</v>
      </c>
      <c r="C14" s="400"/>
      <c r="D14" s="400"/>
      <c r="E14" s="400"/>
      <c r="F14" s="400"/>
      <c r="G14" s="401"/>
      <c r="H14" s="12"/>
      <c r="I14" s="12"/>
      <c r="J14" s="22" t="s">
        <v>3764</v>
      </c>
      <c r="K14" s="45">
        <v>68874747390</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73" t="str">
        <f xml:space="preserve"> IF(B18&gt;0,LOOKUP(B18,Sifre!A255:A869,Sifre!B255:B869),"Djelatnost nije upisana")</f>
        <v>Opće srednje obrazovanje</v>
      </c>
      <c r="D18" s="374"/>
      <c r="E18" s="374"/>
      <c r="F18" s="374"/>
      <c r="G18" s="374"/>
      <c r="H18" s="374"/>
      <c r="I18" s="374"/>
      <c r="J18" s="374"/>
      <c r="K18" s="374"/>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73" t="str">
        <f>IF(B20&lt;&gt;"","Razdjel: " &amp; LOOKUP(B20,A666:A713,B666:B713),"Razdjel nije upisan")</f>
        <v>Razdjel: NEMA RAZDJELA</v>
      </c>
      <c r="D20" s="374"/>
      <c r="E20" s="374"/>
      <c r="F20" s="374"/>
      <c r="G20" s="374"/>
      <c r="H20" s="374"/>
      <c r="I20" s="374"/>
      <c r="J20" s="374"/>
      <c r="K20" s="374"/>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312</v>
      </c>
      <c r="C22" s="373" t="str">
        <f>IF(B22&gt;0, "Županija: " &amp; LOOKUP(H2,A83:A103,B83:B103) &amp; ", grad/općina: " &amp; LOOKUP(B22,A107:A663,B107:B663),"Šifra grada/općine nije upisana")</f>
        <v>Županija: OSIJEČKO-BARANJSKA, grad/općina: OSIJEK</v>
      </c>
      <c r="D22" s="374"/>
      <c r="E22" s="374"/>
      <c r="F22" s="374"/>
      <c r="G22" s="374"/>
      <c r="H22" s="374"/>
      <c r="I22" s="374"/>
      <c r="J22" s="374"/>
      <c r="K22" s="374"/>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78" t="s">
        <v>1978</v>
      </c>
      <c r="E24" s="379"/>
      <c r="F24" s="379"/>
      <c r="G24" s="12"/>
      <c r="H24" s="12"/>
      <c r="I24" s="12"/>
      <c r="J24" s="12"/>
      <c r="K24" s="12"/>
    </row>
    <row r="25" spans="1:11" ht="15" customHeight="1" x14ac:dyDescent="0.2">
      <c r="A25" s="403" t="s">
        <v>1462</v>
      </c>
      <c r="B25" s="39" t="str">
        <f>IF(SUM(Skriveni!C2:F642)=0,"NE", "DA")</f>
        <v>DA</v>
      </c>
      <c r="C25" s="380" t="s">
        <v>818</v>
      </c>
      <c r="D25" s="381"/>
      <c r="E25" s="82" t="str">
        <f>IF(AND(B25="DA",Kont!E23&gt;0),Kont!E23,"Nema")</f>
        <v>Nema</v>
      </c>
      <c r="F25" s="12"/>
      <c r="G25" s="22" t="s">
        <v>3680</v>
      </c>
      <c r="H25" s="375" t="s">
        <v>4295</v>
      </c>
      <c r="I25" s="376"/>
      <c r="J25" s="376"/>
      <c r="K25" s="377"/>
    </row>
    <row r="26" spans="1:11" ht="3" customHeight="1" x14ac:dyDescent="0.2">
      <c r="A26" s="404"/>
      <c r="B26" s="32"/>
      <c r="C26" s="33"/>
      <c r="D26" s="34"/>
      <c r="E26" s="35"/>
      <c r="G26" s="13"/>
      <c r="H26" s="12"/>
      <c r="I26" s="12"/>
      <c r="J26" s="12"/>
      <c r="K26" s="12"/>
    </row>
    <row r="27" spans="1:11" ht="15" customHeight="1" x14ac:dyDescent="0.2">
      <c r="A27" s="404"/>
      <c r="B27" s="39" t="str">
        <f>IF(SUM(Skriveni!C977:D1225)&lt;&gt;0,"DA","NE")</f>
        <v>DA</v>
      </c>
      <c r="C27" s="380" t="s">
        <v>2601</v>
      </c>
      <c r="D27" s="412"/>
      <c r="E27" s="82" t="str">
        <f>IF(AND(B27="DA",Kont!E261&gt;0),Kont!E261,"Nema")</f>
        <v>Nema</v>
      </c>
      <c r="F27" s="12"/>
      <c r="G27" s="22" t="s">
        <v>3681</v>
      </c>
      <c r="H27" s="375" t="s">
        <v>4296</v>
      </c>
      <c r="I27" s="377"/>
      <c r="J27" s="13" t="s">
        <v>1447</v>
      </c>
      <c r="K27" s="15" t="s">
        <v>4296</v>
      </c>
    </row>
    <row r="28" spans="1:11" ht="3" customHeight="1" x14ac:dyDescent="0.2">
      <c r="A28" s="404"/>
      <c r="F28" s="12"/>
      <c r="G28" s="12"/>
      <c r="H28" s="12"/>
      <c r="I28" s="12"/>
      <c r="J28" s="12"/>
      <c r="K28" s="12"/>
    </row>
    <row r="29" spans="1:11" ht="15" customHeight="1" x14ac:dyDescent="0.2">
      <c r="A29" s="404"/>
      <c r="B29" s="39" t="str">
        <f>IF(SUM(Skriveni!C1287:D1422)&lt;&gt;0,"DA","NE")</f>
        <v>DA</v>
      </c>
      <c r="C29" s="382" t="s">
        <v>819</v>
      </c>
      <c r="D29" s="383"/>
      <c r="E29" s="82" t="str">
        <f>IF(AND(B29="DA",Kont!E297&gt;0),Kont!E297,"Nema")</f>
        <v>Nema</v>
      </c>
      <c r="F29" s="12"/>
      <c r="G29" s="22" t="s">
        <v>1448</v>
      </c>
      <c r="H29" s="407" t="s">
        <v>4297</v>
      </c>
      <c r="I29" s="408"/>
      <c r="J29" s="408"/>
      <c r="K29" s="409"/>
    </row>
    <row r="30" spans="1:11" ht="3" customHeight="1" x14ac:dyDescent="0.2">
      <c r="A30" s="404"/>
      <c r="B30" s="32"/>
      <c r="C30" s="33"/>
      <c r="D30" s="34"/>
      <c r="E30" s="35"/>
      <c r="F30" s="12"/>
      <c r="G30" s="12"/>
      <c r="H30" s="12"/>
      <c r="I30" s="12"/>
      <c r="J30" s="12"/>
      <c r="K30" s="12"/>
    </row>
    <row r="31" spans="1:11" ht="15" customHeight="1" x14ac:dyDescent="0.2">
      <c r="A31" s="404"/>
      <c r="B31" s="183" t="s">
        <v>4300</v>
      </c>
      <c r="C31" s="380" t="s">
        <v>1591</v>
      </c>
      <c r="D31" s="412"/>
      <c r="E31" s="82" t="str">
        <f>IF(Kont!E292&gt;0,Kont!E292,"Nema")</f>
        <v>Nema</v>
      </c>
      <c r="F31" s="12"/>
      <c r="G31" s="13" t="s">
        <v>1449</v>
      </c>
      <c r="H31" s="407" t="s">
        <v>4298</v>
      </c>
      <c r="I31" s="408"/>
      <c r="J31" s="408"/>
      <c r="K31" s="409"/>
    </row>
    <row r="32" spans="1:11" ht="3" customHeight="1" x14ac:dyDescent="0.2">
      <c r="A32" s="404"/>
      <c r="B32" s="32"/>
      <c r="C32" s="33"/>
      <c r="D32" s="34"/>
      <c r="E32" s="35"/>
      <c r="F32" s="12"/>
      <c r="G32" s="12"/>
      <c r="H32" s="12"/>
      <c r="I32" s="12"/>
      <c r="J32" s="12"/>
      <c r="K32" s="12"/>
    </row>
    <row r="33" spans="1:11" ht="15" customHeight="1" x14ac:dyDescent="0.2">
      <c r="A33" s="405"/>
      <c r="B33" s="39" t="str">
        <f>IF(SUM(Skriveni!C1468:C1550)&lt;&gt;0,"DA","NE")</f>
        <v>DA</v>
      </c>
      <c r="C33" s="410" t="s">
        <v>1210</v>
      </c>
      <c r="D33" s="411"/>
      <c r="E33" s="82" t="str">
        <f>IF(AND(B33="DA",Kont!E288&gt;0),Kont!E288,"Nema")</f>
        <v>Nema</v>
      </c>
      <c r="F33" s="12"/>
      <c r="G33" s="22" t="s">
        <v>735</v>
      </c>
      <c r="H33" s="399" t="s">
        <v>4299</v>
      </c>
      <c r="I33" s="400"/>
      <c r="J33" s="400"/>
      <c r="K33" s="40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13" t="str">
        <f>IF(Kont!E3&gt;0,"Izvještaj sadrži pogreške, broj pogrešaka: " &amp; Kont!E3,IF(J6=0,"Izvještaj je prazan","Izvještaj nema pogrešaka"))</f>
        <v>Izvještaj nema pogrešaka</v>
      </c>
      <c r="I35" s="414"/>
      <c r="J35" s="414"/>
      <c r="K35" s="415"/>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406" t="s">
        <v>2060</v>
      </c>
      <c r="C38" s="406"/>
      <c r="D38" s="406"/>
      <c r="E38" s="406"/>
      <c r="F38" s="406"/>
      <c r="G38" s="406"/>
      <c r="H38" s="406"/>
      <c r="I38" s="109" t="s">
        <v>1683</v>
      </c>
      <c r="J38" s="110" t="s">
        <v>1685</v>
      </c>
      <c r="K38" s="111" t="s">
        <v>1684</v>
      </c>
    </row>
    <row r="39" spans="1:11" ht="12.95" customHeight="1" x14ac:dyDescent="0.2">
      <c r="A39" s="384" t="s">
        <v>3714</v>
      </c>
      <c r="B39" s="387" t="str">
        <f>PRRAS!B12</f>
        <v xml:space="preserve">PRIHODI POSLOVANJA (AOP 002+039+045+074+105+123+130+136) </v>
      </c>
      <c r="C39" s="387"/>
      <c r="D39" s="387"/>
      <c r="E39" s="387"/>
      <c r="F39" s="387"/>
      <c r="G39" s="387"/>
      <c r="H39" s="387"/>
      <c r="I39" s="112">
        <f>PRRAS!C12</f>
        <v>1</v>
      </c>
      <c r="J39" s="113">
        <f>PRRAS!D12</f>
        <v>9096994</v>
      </c>
      <c r="K39" s="114">
        <f>PRRAS!E12</f>
        <v>9505757</v>
      </c>
    </row>
    <row r="40" spans="1:11" ht="12.95" customHeight="1" x14ac:dyDescent="0.2">
      <c r="A40" s="385"/>
      <c r="B40" s="388" t="str">
        <f>PRRAS!B159</f>
        <v xml:space="preserve">RASHODI POSLOVANJA (AOP 149+160+193+212+221+246+257) </v>
      </c>
      <c r="C40" s="389"/>
      <c r="D40" s="389"/>
      <c r="E40" s="389"/>
      <c r="F40" s="389"/>
      <c r="G40" s="389"/>
      <c r="H40" s="389"/>
      <c r="I40" s="115">
        <f>PRRAS!C159</f>
        <v>148</v>
      </c>
      <c r="J40" s="116">
        <f>PRRAS!D159</f>
        <v>8999990</v>
      </c>
      <c r="K40" s="117">
        <f>PRRAS!E159</f>
        <v>9317115</v>
      </c>
    </row>
    <row r="41" spans="1:11" ht="12.95" customHeight="1" x14ac:dyDescent="0.2">
      <c r="A41" s="385"/>
      <c r="B41" s="388" t="str">
        <f>PRRAS!B648</f>
        <v>Višak prihoda i primitaka raspoloživ u sljedećem razdoblju (AOP 631+633-632-634)</v>
      </c>
      <c r="C41" s="389"/>
      <c r="D41" s="389"/>
      <c r="E41" s="389"/>
      <c r="F41" s="389"/>
      <c r="G41" s="389"/>
      <c r="H41" s="389"/>
      <c r="I41" s="115">
        <f>PRRAS!C648</f>
        <v>635</v>
      </c>
      <c r="J41" s="116">
        <f>PRRAS!D648</f>
        <v>0</v>
      </c>
      <c r="K41" s="117">
        <f>PRRAS!E648</f>
        <v>86542</v>
      </c>
    </row>
    <row r="42" spans="1:11" ht="12.95" customHeight="1" x14ac:dyDescent="0.2">
      <c r="A42" s="386"/>
      <c r="B42" s="391" t="str">
        <f>PRRAS!B649</f>
        <v>Manjak prihoda i primitaka za pokriće u sljedećem razdoblju (AOP 632+634-631-633)</v>
      </c>
      <c r="C42" s="392"/>
      <c r="D42" s="392"/>
      <c r="E42" s="392"/>
      <c r="F42" s="392"/>
      <c r="G42" s="392"/>
      <c r="H42" s="392"/>
      <c r="I42" s="118">
        <f>PRRAS!C649</f>
        <v>636</v>
      </c>
      <c r="J42" s="119">
        <f>PRRAS!D649</f>
        <v>6234</v>
      </c>
      <c r="K42" s="120">
        <f>PRRAS!E649</f>
        <v>0</v>
      </c>
    </row>
    <row r="43" spans="1:11" ht="12.95" customHeight="1" x14ac:dyDescent="0.2">
      <c r="A43" s="384" t="s">
        <v>2272</v>
      </c>
      <c r="B43" s="387" t="str">
        <f>Bil!B13</f>
        <v>Nefinancijska imovina (AOP 003+007+046+047+051+058)</v>
      </c>
      <c r="C43" s="390"/>
      <c r="D43" s="390"/>
      <c r="E43" s="390"/>
      <c r="F43" s="390"/>
      <c r="G43" s="390"/>
      <c r="H43" s="390"/>
      <c r="I43" s="112">
        <f>Bil!C13</f>
        <v>2</v>
      </c>
      <c r="J43" s="113">
        <f>Bil!D13</f>
        <v>2080418</v>
      </c>
      <c r="K43" s="114">
        <f>Bil!E13</f>
        <v>1929811</v>
      </c>
    </row>
    <row r="44" spans="1:11" ht="12.95" customHeight="1" x14ac:dyDescent="0.2">
      <c r="A44" s="385"/>
      <c r="B44" s="388" t="str">
        <f>Bil!B74</f>
        <v>Financijska imovina (AOP 064+073+081+112+128+140+157+158)</v>
      </c>
      <c r="C44" s="389"/>
      <c r="D44" s="389"/>
      <c r="E44" s="389"/>
      <c r="F44" s="389"/>
      <c r="G44" s="389"/>
      <c r="H44" s="389"/>
      <c r="I44" s="115">
        <f>Bil!C74</f>
        <v>63</v>
      </c>
      <c r="J44" s="116">
        <f>Bil!D74</f>
        <v>756656</v>
      </c>
      <c r="K44" s="117">
        <f>Bil!E74</f>
        <v>848123</v>
      </c>
    </row>
    <row r="45" spans="1:11" ht="12.95" customHeight="1" x14ac:dyDescent="0.2">
      <c r="A45" s="385"/>
      <c r="B45" s="388" t="str">
        <f>Bil!B174</f>
        <v xml:space="preserve">Obveze (AOP 164+175+176+192+220) </v>
      </c>
      <c r="C45" s="389"/>
      <c r="D45" s="389"/>
      <c r="E45" s="389"/>
      <c r="F45" s="389"/>
      <c r="G45" s="389"/>
      <c r="H45" s="389"/>
      <c r="I45" s="115">
        <f>Bil!C174</f>
        <v>163</v>
      </c>
      <c r="J45" s="116">
        <f>Bil!D174</f>
        <v>757201</v>
      </c>
      <c r="K45" s="117">
        <f>Bil!E174</f>
        <v>760192</v>
      </c>
    </row>
    <row r="46" spans="1:11" ht="12.95" customHeight="1" x14ac:dyDescent="0.2">
      <c r="A46" s="386"/>
      <c r="B46" s="391" t="str">
        <f>Bil!B234</f>
        <v>Vlastiti izvori (224 + 232 - 236 + 240 do 242)</v>
      </c>
      <c r="C46" s="392"/>
      <c r="D46" s="392"/>
      <c r="E46" s="392"/>
      <c r="F46" s="392"/>
      <c r="G46" s="392"/>
      <c r="H46" s="392"/>
      <c r="I46" s="118">
        <f>Bil!C234</f>
        <v>223</v>
      </c>
      <c r="J46" s="119">
        <f>Bil!D234</f>
        <v>2079874</v>
      </c>
      <c r="K46" s="120">
        <f>Bil!E234</f>
        <v>2017742</v>
      </c>
    </row>
    <row r="47" spans="1:11" ht="12.95" customHeight="1" x14ac:dyDescent="0.2">
      <c r="A47" s="384" t="s">
        <v>2270</v>
      </c>
      <c r="B47" s="387" t="str">
        <f>RasF!B12</f>
        <v>Opće javne usluge (AOP 002+006+009+013 do 017)</v>
      </c>
      <c r="C47" s="387"/>
      <c r="D47" s="387"/>
      <c r="E47" s="387"/>
      <c r="F47" s="387"/>
      <c r="G47" s="387"/>
      <c r="H47" s="387"/>
      <c r="I47" s="112">
        <f>RasF!C12</f>
        <v>1</v>
      </c>
      <c r="J47" s="113">
        <f>RasF!D12</f>
        <v>0</v>
      </c>
      <c r="K47" s="114">
        <f>RasF!E12</f>
        <v>0</v>
      </c>
    </row>
    <row r="48" spans="1:11" ht="12.95" customHeight="1" x14ac:dyDescent="0.2">
      <c r="A48" s="385"/>
      <c r="B48" s="388" t="str">
        <f>RasF!B42</f>
        <v>Ekonomski poslovi (AOP 032+035+039+046+050+056+057+062+070)</v>
      </c>
      <c r="C48" s="388"/>
      <c r="D48" s="388"/>
      <c r="E48" s="388"/>
      <c r="F48" s="388"/>
      <c r="G48" s="388"/>
      <c r="H48" s="388"/>
      <c r="I48" s="115">
        <f>RasF!C42</f>
        <v>31</v>
      </c>
      <c r="J48" s="116">
        <f>RasF!D42</f>
        <v>0</v>
      </c>
      <c r="K48" s="117">
        <f>RasF!E42</f>
        <v>0</v>
      </c>
    </row>
    <row r="49" spans="1:11" ht="12.95" customHeight="1" x14ac:dyDescent="0.2">
      <c r="A49" s="385"/>
      <c r="B49" s="388" t="str">
        <f>RasF!B95</f>
        <v>Rashodi vezani za stanovanje i kom. pogodnosti koji nisu drugdje svrstani</v>
      </c>
      <c r="C49" s="388"/>
      <c r="D49" s="388"/>
      <c r="E49" s="388"/>
      <c r="F49" s="388"/>
      <c r="G49" s="388"/>
      <c r="H49" s="388"/>
      <c r="I49" s="115">
        <f>RasF!C95</f>
        <v>84</v>
      </c>
      <c r="J49" s="116">
        <f>RasF!D95</f>
        <v>0</v>
      </c>
      <c r="K49" s="117">
        <f>RasF!E95</f>
        <v>0</v>
      </c>
    </row>
    <row r="50" spans="1:11" ht="12.95" customHeight="1" x14ac:dyDescent="0.2">
      <c r="A50" s="385"/>
      <c r="B50" s="388" t="str">
        <f>RasF!B121</f>
        <v>Obrazovanje (AOP 111+114+117+118+121 do 124)</v>
      </c>
      <c r="C50" s="388"/>
      <c r="D50" s="388"/>
      <c r="E50" s="388"/>
      <c r="F50" s="388"/>
      <c r="G50" s="388"/>
      <c r="H50" s="388"/>
      <c r="I50" s="115">
        <f>RasF!C121</f>
        <v>110</v>
      </c>
      <c r="J50" s="116">
        <f>RasF!D121</f>
        <v>9086178</v>
      </c>
      <c r="K50" s="117">
        <f>RasF!E121</f>
        <v>9421704</v>
      </c>
    </row>
    <row r="51" spans="1:11" ht="12.95" customHeight="1" x14ac:dyDescent="0.2">
      <c r="A51" s="386"/>
      <c r="B51" s="391" t="str">
        <f>RasF!B148</f>
        <v>Kontrolni zbroj (AOP 001+018+024+031+071+078+085+103+110+125)</v>
      </c>
      <c r="C51" s="391"/>
      <c r="D51" s="391"/>
      <c r="E51" s="391"/>
      <c r="F51" s="391"/>
      <c r="G51" s="391"/>
      <c r="H51" s="391"/>
      <c r="I51" s="118">
        <f>RasF!C148</f>
        <v>137</v>
      </c>
      <c r="J51" s="119">
        <f>RasF!D148</f>
        <v>9086178</v>
      </c>
      <c r="K51" s="120">
        <f>RasF!E148</f>
        <v>9421704</v>
      </c>
    </row>
    <row r="52" spans="1:11" ht="12.95" customHeight="1" x14ac:dyDescent="0.2">
      <c r="A52" s="384" t="s">
        <v>2271</v>
      </c>
      <c r="B52" s="390" t="str">
        <f>PVRIO!B12</f>
        <v>Promjene u vrijednosti i obujmu imovine (AOP 002+018)</v>
      </c>
      <c r="C52" s="390"/>
      <c r="D52" s="390"/>
      <c r="E52" s="390"/>
      <c r="F52" s="390"/>
      <c r="G52" s="390"/>
      <c r="H52" s="390"/>
      <c r="I52" s="112">
        <f>PVRIO!C12</f>
        <v>1</v>
      </c>
      <c r="J52" s="113">
        <f>PVRIO!D12</f>
        <v>0</v>
      </c>
      <c r="K52" s="114">
        <f>PVRIO!E12</f>
        <v>0</v>
      </c>
    </row>
    <row r="53" spans="1:11" ht="12.95" customHeight="1" x14ac:dyDescent="0.2">
      <c r="A53" s="385"/>
      <c r="B53" s="389" t="str">
        <f>PVRIO!B29</f>
        <v>Promjene u obujmu imovine (AOP 019+026)</v>
      </c>
      <c r="C53" s="389"/>
      <c r="D53" s="389"/>
      <c r="E53" s="389"/>
      <c r="F53" s="389"/>
      <c r="G53" s="389"/>
      <c r="H53" s="389"/>
      <c r="I53" s="115">
        <f>PVRIO!C29</f>
        <v>18</v>
      </c>
      <c r="J53" s="116">
        <f>PVRIO!D29</f>
        <v>0</v>
      </c>
      <c r="K53" s="117">
        <f>PVRIO!E29</f>
        <v>0</v>
      </c>
    </row>
    <row r="54" spans="1:11" ht="12.95" customHeight="1" x14ac:dyDescent="0.2">
      <c r="A54" s="385"/>
      <c r="B54" s="389" t="str">
        <f>PVRIO!B45</f>
        <v>Promjene u vrijednosti (revalorizacija) i obujmu obveza (AOP 035+040)</v>
      </c>
      <c r="C54" s="389"/>
      <c r="D54" s="389"/>
      <c r="E54" s="389"/>
      <c r="F54" s="389"/>
      <c r="G54" s="389"/>
      <c r="H54" s="389"/>
      <c r="I54" s="115">
        <f>PVRIO!C45</f>
        <v>34</v>
      </c>
      <c r="J54" s="116">
        <f>PVRIO!D45</f>
        <v>0</v>
      </c>
      <c r="K54" s="117">
        <f>PVRIO!E45</f>
        <v>0</v>
      </c>
    </row>
    <row r="55" spans="1:11" ht="12.95" customHeight="1" x14ac:dyDescent="0.2">
      <c r="A55" s="386"/>
      <c r="B55" s="392" t="str">
        <f>PVRIO!B51</f>
        <v>Promjene u obujmu obveza (AOP 041 do 044)</v>
      </c>
      <c r="C55" s="392"/>
      <c r="D55" s="392"/>
      <c r="E55" s="392"/>
      <c r="F55" s="392"/>
      <c r="G55" s="392"/>
      <c r="H55" s="392"/>
      <c r="I55" s="118">
        <f>PVRIO!C51</f>
        <v>40</v>
      </c>
      <c r="J55" s="119">
        <f>PVRIO!D51</f>
        <v>0</v>
      </c>
      <c r="K55" s="120">
        <f>PVRIO!E51</f>
        <v>0</v>
      </c>
    </row>
    <row r="56" spans="1:11" ht="12.95" customHeight="1" x14ac:dyDescent="0.2">
      <c r="A56" s="384" t="s">
        <v>2273</v>
      </c>
      <c r="B56" s="390" t="str">
        <f>Obv!B12</f>
        <v>Stanje obveza 1. siječnja (=AOP 036* iz Izvještaja o obvezama za prethodnu godinu)</v>
      </c>
      <c r="C56" s="390"/>
      <c r="D56" s="390"/>
      <c r="E56" s="390"/>
      <c r="F56" s="390"/>
      <c r="G56" s="390"/>
      <c r="H56" s="390"/>
      <c r="I56" s="112">
        <f>Obv!C12</f>
        <v>1</v>
      </c>
      <c r="J56" s="113" t="s">
        <v>3568</v>
      </c>
      <c r="K56" s="114">
        <f>Obv!D12</f>
        <v>757204</v>
      </c>
    </row>
    <row r="57" spans="1:11" ht="12.95" customHeight="1" x14ac:dyDescent="0.2">
      <c r="A57" s="385"/>
      <c r="B57" s="388" t="str">
        <f>Obv!B47</f>
        <v>Stanje obveza na kraju izvještajnog razdoblja (AOP 001+002-019) i (AOP 037+090)</v>
      </c>
      <c r="C57" s="388"/>
      <c r="D57" s="388"/>
      <c r="E57" s="388"/>
      <c r="F57" s="388"/>
      <c r="G57" s="388"/>
      <c r="H57" s="388"/>
      <c r="I57" s="115">
        <f>Obv!C47</f>
        <v>36</v>
      </c>
      <c r="J57" s="116" t="s">
        <v>3568</v>
      </c>
      <c r="K57" s="117">
        <f>Obv!D47</f>
        <v>760191</v>
      </c>
    </row>
    <row r="58" spans="1:11" ht="12.95" customHeight="1" x14ac:dyDescent="0.2">
      <c r="A58" s="385"/>
      <c r="B58" s="388" t="str">
        <f>Obv!B48</f>
        <v>Stanje dospjelih obveza na kraju izvještajnog razdoblja (AOP 038+043+079+084)</v>
      </c>
      <c r="C58" s="388"/>
      <c r="D58" s="388"/>
      <c r="E58" s="388"/>
      <c r="F58" s="388"/>
      <c r="G58" s="388"/>
      <c r="H58" s="388"/>
      <c r="I58" s="115">
        <f>Obv!C48</f>
        <v>37</v>
      </c>
      <c r="J58" s="116" t="s">
        <v>3568</v>
      </c>
      <c r="K58" s="117">
        <f>Obv!D48</f>
        <v>0</v>
      </c>
    </row>
    <row r="59" spans="1:11" ht="12.95" customHeight="1" x14ac:dyDescent="0.2">
      <c r="A59" s="386"/>
      <c r="B59" s="391" t="str">
        <f>Obv!B101</f>
        <v>Stanje nedospjelih obveza na kraju izvještajnog razdoblja (AOP 091 do 094)</v>
      </c>
      <c r="C59" s="391"/>
      <c r="D59" s="391"/>
      <c r="E59" s="391"/>
      <c r="F59" s="391"/>
      <c r="G59" s="391"/>
      <c r="H59" s="391"/>
      <c r="I59" s="118">
        <f>Obv!C101</f>
        <v>90</v>
      </c>
      <c r="J59" s="119" t="s">
        <v>3568</v>
      </c>
      <c r="K59" s="120">
        <f>Obv!D101</f>
        <v>760191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2" t="str">
        <f xml:space="preserve"> "Verzija Excel datoteke: " &amp; MID(Skriveni!K31,1,1) &amp; "." &amp; MID(Skriveni!K31,2,1) &amp; "." &amp; MID(Skriveni!K31,3,1) &amp; "."</f>
        <v>Verzija Excel datoteke: 5.0.6.</v>
      </c>
      <c r="K61" s="402"/>
    </row>
    <row r="62" spans="1:11" ht="53.25" customHeight="1" x14ac:dyDescent="0.2">
      <c r="A62" s="19"/>
      <c r="B62" s="19"/>
      <c r="C62" s="19"/>
      <c r="D62" s="19"/>
      <c r="E62" s="19"/>
      <c r="F62" s="19"/>
      <c r="G62" s="20"/>
      <c r="H62" s="19"/>
      <c r="I62" s="19"/>
      <c r="J62" s="19"/>
      <c r="K62" s="19"/>
    </row>
    <row r="63" spans="1:11" ht="21.75" customHeight="1" x14ac:dyDescent="0.2">
      <c r="A63" s="393" t="s">
        <v>3716</v>
      </c>
      <c r="B63" s="393"/>
      <c r="C63" s="393"/>
      <c r="D63" s="393"/>
      <c r="E63" s="16"/>
      <c r="F63" s="21"/>
      <c r="G63" s="16"/>
      <c r="H63" s="394" t="s">
        <v>3135</v>
      </c>
      <c r="I63" s="395"/>
      <c r="J63" s="395"/>
      <c r="K63" s="395"/>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1" priority="1" stopIfTrue="1" operator="notEqual">
      <formula>"Nema"</formula>
    </cfRule>
  </conditionalFormatting>
  <conditionalFormatting sqref="H35:K35">
    <cfRule type="cellIs" dxfId="20" priority="2" stopIfTrue="1" operator="equal">
      <formula>"Izvještaj nema pogrešaka"</formula>
    </cfRule>
    <cfRule type="cellIs" dxfId="19"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172" zoomScaleNormal="172" workbookViewId="0">
      <pane ySplit="1" topLeftCell="A70" activePane="bottomLeft" state="frozen"/>
      <selection pane="bottomLeft" activeCell="E247" sqref="E24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368" t="str">
        <f>"RKP: "&amp;IF(RefStr!B6&lt;&gt;"",TEXT(INT(VALUE(RefStr!B6)),"00000"),"_____"&amp;",  "&amp;"MB: "&amp;IF(RefStr!B8&lt;&gt;"",TEXT(INT(VALUE(RefStr!B8)),"00000000"),"________")&amp;"  OIB: "&amp;IF(RefStr!K14&lt;&gt;"",RefStr!K14,"___________"))</f>
        <v>RKP: 17941</v>
      </c>
      <c r="C4" s="369"/>
      <c r="D4" s="369"/>
      <c r="E4" s="370">
        <f>SUM(Skriveni!G977:G1286)</f>
        <v>10392869.634000001</v>
      </c>
      <c r="F4" s="371"/>
    </row>
    <row r="5" spans="1:6" ht="15" customHeight="1" x14ac:dyDescent="0.2">
      <c r="B5" s="368" t="str">
        <f>"Naziv: "&amp;IF(RefStr!B10&lt;&gt;"",RefStr!B10,"_______________________________________")</f>
        <v>Naziv: III. GIMNAZIJA</v>
      </c>
      <c r="C5" s="369"/>
      <c r="D5" s="369"/>
      <c r="E5" s="372" t="s">
        <v>7</v>
      </c>
      <c r="F5" s="372"/>
    </row>
    <row r="6" spans="1:6" ht="15" customHeight="1" x14ac:dyDescent="0.2">
      <c r="A6" s="24"/>
      <c r="B6" s="366" t="str">
        <f xml:space="preserve"> "Razina: " &amp; RefStr!B16 &amp; ", Razdjel: " &amp; TEXT(INT(VALUE(RefStr!B20)), "000")</f>
        <v>Razina: 31, Razdjel: 000</v>
      </c>
      <c r="C6" s="367"/>
      <c r="D6" s="367"/>
      <c r="E6" s="367"/>
      <c r="F6" s="367"/>
    </row>
    <row r="7" spans="1:6" ht="15" customHeight="1" x14ac:dyDescent="0.2">
      <c r="A7" s="24"/>
      <c r="B7" s="366" t="str">
        <f>"Djelatnost: " &amp; RefStr!B18 &amp; " " &amp; RefStr!C18</f>
        <v>Djelatnost: 8531 Opće srednje obrazovanje</v>
      </c>
      <c r="C7" s="367"/>
      <c r="D7" s="367"/>
      <c r="E7" s="367"/>
      <c r="F7" s="36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2837074</v>
      </c>
      <c r="E12" s="96">
        <f>E13+E74</f>
        <v>2777934</v>
      </c>
      <c r="F12" s="123">
        <f t="shared" ref="F12:F75" si="0">IF(D12&gt;0,IF(E12/D12&gt;=100,"&gt;&gt;100",E12/D12*100),"-")</f>
        <v>97.915457968315252</v>
      </c>
    </row>
    <row r="13" spans="1:6" s="3" customFormat="1" x14ac:dyDescent="0.2">
      <c r="A13" s="132">
        <v>0</v>
      </c>
      <c r="B13" s="314" t="s">
        <v>521</v>
      </c>
      <c r="C13" s="303">
        <v>2</v>
      </c>
      <c r="D13" s="97">
        <f>D14+D18+D57+D58+D62+D69</f>
        <v>2080418</v>
      </c>
      <c r="E13" s="97">
        <f>E14+E18+E57+E58+E62+E69</f>
        <v>1929811</v>
      </c>
      <c r="F13" s="124">
        <f t="shared" si="0"/>
        <v>92.760733660254814</v>
      </c>
    </row>
    <row r="14" spans="1:6" s="3" customFormat="1" x14ac:dyDescent="0.2">
      <c r="A14" s="132" t="s">
        <v>1564</v>
      </c>
      <c r="B14" s="314" t="s">
        <v>3259</v>
      </c>
      <c r="C14" s="303">
        <v>3</v>
      </c>
      <c r="D14" s="97">
        <f>D15+D16-D17</f>
        <v>213455</v>
      </c>
      <c r="E14" s="97">
        <f>E15+E16-E17</f>
        <v>213456</v>
      </c>
      <c r="F14" s="124">
        <f t="shared" si="0"/>
        <v>100.00046848281838</v>
      </c>
    </row>
    <row r="15" spans="1:6" s="3" customFormat="1" x14ac:dyDescent="0.2">
      <c r="A15" s="132" t="s">
        <v>3260</v>
      </c>
      <c r="B15" s="314" t="s">
        <v>3261</v>
      </c>
      <c r="C15" s="303">
        <v>4</v>
      </c>
      <c r="D15" s="94">
        <v>199415</v>
      </c>
      <c r="E15" s="94">
        <v>199416</v>
      </c>
      <c r="F15" s="125">
        <f t="shared" si="0"/>
        <v>100.00050146679035</v>
      </c>
    </row>
    <row r="16" spans="1:6" s="3" customFormat="1" x14ac:dyDescent="0.2">
      <c r="A16" s="132" t="s">
        <v>3262</v>
      </c>
      <c r="B16" s="314" t="s">
        <v>358</v>
      </c>
      <c r="C16" s="303">
        <v>5</v>
      </c>
      <c r="D16" s="94">
        <v>15600</v>
      </c>
      <c r="E16" s="94">
        <v>15600</v>
      </c>
      <c r="F16" s="125">
        <f t="shared" si="0"/>
        <v>100</v>
      </c>
    </row>
    <row r="17" spans="1:6" s="3" customFormat="1" x14ac:dyDescent="0.2">
      <c r="A17" s="132" t="s">
        <v>359</v>
      </c>
      <c r="B17" s="314" t="s">
        <v>360</v>
      </c>
      <c r="C17" s="303">
        <v>6</v>
      </c>
      <c r="D17" s="94">
        <v>1560</v>
      </c>
      <c r="E17" s="94">
        <v>1560</v>
      </c>
      <c r="F17" s="125">
        <f t="shared" si="0"/>
        <v>100</v>
      </c>
    </row>
    <row r="18" spans="1:6" s="3" customFormat="1" x14ac:dyDescent="0.2">
      <c r="A18" s="132" t="s">
        <v>361</v>
      </c>
      <c r="B18" s="314" t="s">
        <v>522</v>
      </c>
      <c r="C18" s="303">
        <v>7</v>
      </c>
      <c r="D18" s="97">
        <f>D19+D25+D35+D41+D47+D51</f>
        <v>1866963</v>
      </c>
      <c r="E18" s="97">
        <f>E19+E25+E35+E41+E47+E51</f>
        <v>1716355</v>
      </c>
      <c r="F18" s="124">
        <f t="shared" si="0"/>
        <v>91.932994922770291</v>
      </c>
    </row>
    <row r="19" spans="1:6" s="3" customFormat="1" x14ac:dyDescent="0.2">
      <c r="A19" s="315" t="s">
        <v>362</v>
      </c>
      <c r="B19" s="314" t="s">
        <v>3928</v>
      </c>
      <c r="C19" s="303">
        <v>8</v>
      </c>
      <c r="D19" s="97">
        <f>SUM(D20:D23)-D24</f>
        <v>1338805</v>
      </c>
      <c r="E19" s="97">
        <f>SUM(E20:E23)-E24</f>
        <v>1302528</v>
      </c>
      <c r="F19" s="124">
        <f t="shared" si="0"/>
        <v>97.290344747741457</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2902143</v>
      </c>
      <c r="E21" s="94">
        <v>2902143</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1563338</v>
      </c>
      <c r="E24" s="94">
        <v>1599615</v>
      </c>
      <c r="F24" s="125">
        <f t="shared" si="0"/>
        <v>102.32048347830091</v>
      </c>
    </row>
    <row r="25" spans="1:6" s="3" customFormat="1" x14ac:dyDescent="0.2">
      <c r="A25" s="315" t="s">
        <v>1156</v>
      </c>
      <c r="B25" s="314" t="s">
        <v>1261</v>
      </c>
      <c r="C25" s="303">
        <v>14</v>
      </c>
      <c r="D25" s="97">
        <f>SUM(D26:D33)-D34</f>
        <v>81414</v>
      </c>
      <c r="E25" s="97">
        <f>SUM(E26:E33)-E34</f>
        <v>123672</v>
      </c>
      <c r="F25" s="124">
        <f t="shared" si="0"/>
        <v>151.9050777507554</v>
      </c>
    </row>
    <row r="26" spans="1:6" s="3" customFormat="1" x14ac:dyDescent="0.2">
      <c r="A26" s="132" t="s">
        <v>1157</v>
      </c>
      <c r="B26" s="314" t="s">
        <v>3941</v>
      </c>
      <c r="C26" s="303">
        <v>15</v>
      </c>
      <c r="D26" s="94">
        <v>1039088</v>
      </c>
      <c r="E26" s="94">
        <v>938181</v>
      </c>
      <c r="F26" s="125">
        <f t="shared" si="0"/>
        <v>90.288887947892775</v>
      </c>
    </row>
    <row r="27" spans="1:6" s="3" customFormat="1" x14ac:dyDescent="0.2">
      <c r="A27" s="132" t="s">
        <v>1158</v>
      </c>
      <c r="B27" s="314" t="s">
        <v>3965</v>
      </c>
      <c r="C27" s="303">
        <v>16</v>
      </c>
      <c r="D27" s="94">
        <v>89662</v>
      </c>
      <c r="E27" s="94">
        <v>85076</v>
      </c>
      <c r="F27" s="125">
        <f t="shared" si="0"/>
        <v>94.885235662822595</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22429</v>
      </c>
      <c r="E31" s="94">
        <v>22429</v>
      </c>
      <c r="F31" s="125">
        <f t="shared" si="0"/>
        <v>100</v>
      </c>
    </row>
    <row r="32" spans="1:6" s="3" customFormat="1" x14ac:dyDescent="0.2">
      <c r="A32" s="272" t="s">
        <v>2452</v>
      </c>
      <c r="B32" s="314" t="s">
        <v>3947</v>
      </c>
      <c r="C32" s="303">
        <v>21</v>
      </c>
      <c r="D32" s="94">
        <v>195667</v>
      </c>
      <c r="E32" s="94">
        <v>249493</v>
      </c>
      <c r="F32" s="125">
        <f t="shared" si="0"/>
        <v>127.50898209713442</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1265432</v>
      </c>
      <c r="E34" s="94">
        <v>1171507</v>
      </c>
      <c r="F34" s="125">
        <f t="shared" si="0"/>
        <v>92.577633567034809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446744</v>
      </c>
      <c r="E41" s="97">
        <f>SUM(E42:E45)-E46</f>
        <v>290155</v>
      </c>
      <c r="F41" s="124">
        <f t="shared" si="0"/>
        <v>64.948829754848418</v>
      </c>
    </row>
    <row r="42" spans="1:6" s="3" customFormat="1" x14ac:dyDescent="0.2">
      <c r="A42" s="132" t="s">
        <v>2878</v>
      </c>
      <c r="B42" s="314" t="s">
        <v>2886</v>
      </c>
      <c r="C42" s="303">
        <v>31</v>
      </c>
      <c r="D42" s="94">
        <v>910823</v>
      </c>
      <c r="E42" s="94">
        <v>942792</v>
      </c>
      <c r="F42" s="125">
        <f t="shared" si="0"/>
        <v>103.50990258260934</v>
      </c>
    </row>
    <row r="43" spans="1:6" s="3" customFormat="1" x14ac:dyDescent="0.2">
      <c r="A43" s="132" t="s">
        <v>2879</v>
      </c>
      <c r="B43" s="314" t="s">
        <v>2884</v>
      </c>
      <c r="C43" s="303">
        <v>32</v>
      </c>
      <c r="D43" s="94">
        <v>55732</v>
      </c>
      <c r="E43" s="94">
        <v>55732</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519811</v>
      </c>
      <c r="E46" s="94">
        <v>708369</v>
      </c>
      <c r="F46" s="125">
        <f t="shared" si="0"/>
        <v>136.27433817291285</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261895</v>
      </c>
      <c r="E60" s="94">
        <v>275708</v>
      </c>
      <c r="F60" s="125">
        <f t="shared" si="0"/>
        <v>105.27425113117852</v>
      </c>
    </row>
    <row r="61" spans="1:6" s="3" customFormat="1" x14ac:dyDescent="0.2">
      <c r="A61" s="132" t="s">
        <v>456</v>
      </c>
      <c r="B61" s="314" t="s">
        <v>617</v>
      </c>
      <c r="C61" s="303">
        <v>50</v>
      </c>
      <c r="D61" s="94">
        <v>261895</v>
      </c>
      <c r="E61" s="94">
        <v>275708</v>
      </c>
      <c r="F61" s="125">
        <f t="shared" si="0"/>
        <v>105.27425113117852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756656</v>
      </c>
      <c r="E74" s="97">
        <f>E75+E84+E92+E123+E139+E151+E168+E169</f>
        <v>848123</v>
      </c>
      <c r="F74" s="124">
        <f t="shared" si="0"/>
        <v>112.08832018777358</v>
      </c>
    </row>
    <row r="75" spans="1:6" s="3" customFormat="1" x14ac:dyDescent="0.2">
      <c r="A75" s="272" t="s">
        <v>2744</v>
      </c>
      <c r="B75" s="314" t="s">
        <v>322</v>
      </c>
      <c r="C75" s="303">
        <v>64</v>
      </c>
      <c r="D75" s="97">
        <f>+D76+D81+D82+D83</f>
        <v>63766</v>
      </c>
      <c r="E75" s="97">
        <f>+E76+E81+E82+E83</f>
        <v>183409</v>
      </c>
      <c r="F75" s="124">
        <f t="shared" si="0"/>
        <v>287.62820311764892</v>
      </c>
    </row>
    <row r="76" spans="1:6" s="3" customFormat="1" x14ac:dyDescent="0.2">
      <c r="A76" s="132" t="s">
        <v>3429</v>
      </c>
      <c r="B76" s="317" t="s">
        <v>1885</v>
      </c>
      <c r="C76" s="303">
        <v>65</v>
      </c>
      <c r="D76" s="97">
        <f>SUM(D77:D80)</f>
        <v>63465</v>
      </c>
      <c r="E76" s="97">
        <f>SUM(E77:E80)</f>
        <v>182490</v>
      </c>
      <c r="F76" s="124">
        <f t="shared" ref="F76:F139" si="1">IF(D76&gt;0,IF(E76/D76&gt;=100,"&gt;&gt;100",E76/D76*100),"-")</f>
        <v>287.54431576459467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63465</v>
      </c>
      <c r="E78" s="94">
        <v>182490</v>
      </c>
      <c r="F78" s="125">
        <f t="shared" si="1"/>
        <v>287.54431576459467</v>
      </c>
    </row>
    <row r="79" spans="1:6" s="3" customFormat="1" x14ac:dyDescent="0.2">
      <c r="A79" s="132" t="s">
        <v>1890</v>
      </c>
      <c r="B79" s="314" t="s">
        <v>1891</v>
      </c>
      <c r="C79" s="303">
        <v>68</v>
      </c>
      <c r="D79" s="94">
        <v>0</v>
      </c>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301</v>
      </c>
      <c r="E82" s="94">
        <v>919</v>
      </c>
      <c r="F82" s="125">
        <f t="shared" si="1"/>
        <v>305.31561461794018</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10742</v>
      </c>
      <c r="E84" s="97">
        <f>+E85+SUM(E88:E91)</f>
        <v>1961</v>
      </c>
      <c r="F84" s="124">
        <f t="shared" si="1"/>
        <v>18.255445913237757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10742</v>
      </c>
      <c r="E91" s="94">
        <v>1961</v>
      </c>
      <c r="F91" s="125">
        <f t="shared" si="1"/>
        <v>18.255445913237757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288</v>
      </c>
      <c r="E151" s="97">
        <f>SUM(E152:E154)+SUM(E162:E166)-E167</f>
        <v>1152</v>
      </c>
      <c r="F151" s="124">
        <f t="shared" si="2"/>
        <v>400</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288</v>
      </c>
      <c r="E163" s="94">
        <v>1152</v>
      </c>
      <c r="F163" s="125">
        <f t="shared" si="2"/>
        <v>400</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5401</v>
      </c>
      <c r="E168" s="94">
        <v>238</v>
      </c>
      <c r="F168" s="125">
        <f t="shared" si="2"/>
        <v>4.4065913719681538</v>
      </c>
    </row>
    <row r="169" spans="1:6" s="3" customFormat="1" x14ac:dyDescent="0.2">
      <c r="A169" s="132" t="s">
        <v>3810</v>
      </c>
      <c r="B169" s="314" t="s">
        <v>4238</v>
      </c>
      <c r="C169" s="303">
        <v>158</v>
      </c>
      <c r="D169" s="97">
        <f>SUM(D170:D172)</f>
        <v>676459</v>
      </c>
      <c r="E169" s="97">
        <f>SUM(E170:E172)</f>
        <v>661363</v>
      </c>
      <c r="F169" s="124">
        <f t="shared" si="2"/>
        <v>97.768379162669135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676459</v>
      </c>
      <c r="E172" s="94">
        <v>661363</v>
      </c>
      <c r="F172" s="125">
        <f t="shared" si="2"/>
        <v>97.768379162669135</v>
      </c>
    </row>
    <row r="173" spans="1:6" s="3" customFormat="1" x14ac:dyDescent="0.2">
      <c r="A173" s="272"/>
      <c r="B173" s="314" t="s">
        <v>1068</v>
      </c>
      <c r="C173" s="303">
        <v>162</v>
      </c>
      <c r="D173" s="97">
        <f>D174+D234</f>
        <v>2837075</v>
      </c>
      <c r="E173" s="97">
        <f>E174+E234</f>
        <v>2777934</v>
      </c>
      <c r="F173" s="124">
        <f t="shared" si="2"/>
        <v>97.915423455495528</v>
      </c>
    </row>
    <row r="174" spans="1:6" s="3" customFormat="1" x14ac:dyDescent="0.2">
      <c r="A174" s="272" t="s">
        <v>3813</v>
      </c>
      <c r="B174" s="314" t="s">
        <v>1145</v>
      </c>
      <c r="C174" s="303">
        <v>163</v>
      </c>
      <c r="D174" s="97">
        <f>D175+D186+D187+D203+D231</f>
        <v>757201</v>
      </c>
      <c r="E174" s="97">
        <f>E175+E186+E187+E203+E231</f>
        <v>760192</v>
      </c>
      <c r="F174" s="124">
        <f t="shared" si="2"/>
        <v>100.39500740226175</v>
      </c>
    </row>
    <row r="175" spans="1:6" s="3" customFormat="1" x14ac:dyDescent="0.2">
      <c r="A175" s="272" t="s">
        <v>1181</v>
      </c>
      <c r="B175" s="314" t="s">
        <v>1547</v>
      </c>
      <c r="C175" s="303">
        <v>164</v>
      </c>
      <c r="D175" s="97">
        <f>SUM(D176:D178)+SUM(D182:D185)</f>
        <v>757201</v>
      </c>
      <c r="E175" s="97">
        <f>SUM(E176:E178)+SUM(E182:E185)</f>
        <v>735692</v>
      </c>
      <c r="F175" s="124">
        <f t="shared" si="2"/>
        <v>97.159406815363425</v>
      </c>
    </row>
    <row r="176" spans="1:6" s="3" customFormat="1" x14ac:dyDescent="0.2">
      <c r="A176" s="272" t="s">
        <v>1182</v>
      </c>
      <c r="B176" s="314" t="s">
        <v>1183</v>
      </c>
      <c r="C176" s="303">
        <v>165</v>
      </c>
      <c r="D176" s="94">
        <v>674493</v>
      </c>
      <c r="E176" s="94">
        <v>661363</v>
      </c>
      <c r="F176" s="125">
        <f t="shared" si="2"/>
        <v>98.053352666373115</v>
      </c>
    </row>
    <row r="177" spans="1:6" s="3" customFormat="1" x14ac:dyDescent="0.2">
      <c r="A177" s="272" t="s">
        <v>1184</v>
      </c>
      <c r="B177" s="314" t="s">
        <v>1185</v>
      </c>
      <c r="C177" s="303">
        <v>166</v>
      </c>
      <c r="D177" s="94">
        <v>71799</v>
      </c>
      <c r="E177" s="94">
        <v>72368</v>
      </c>
      <c r="F177" s="125">
        <f t="shared" si="2"/>
        <v>100.79249014610232</v>
      </c>
    </row>
    <row r="178" spans="1:6" s="3" customFormat="1" x14ac:dyDescent="0.2">
      <c r="A178" s="272" t="s">
        <v>1186</v>
      </c>
      <c r="B178" s="317" t="s">
        <v>2842</v>
      </c>
      <c r="C178" s="303">
        <v>167</v>
      </c>
      <c r="D178" s="97">
        <f>SUM(D179:D181)</f>
        <v>167</v>
      </c>
      <c r="E178" s="97">
        <f>SUM(E179:E181)</f>
        <v>0</v>
      </c>
      <c r="F178" s="124">
        <f t="shared" si="2"/>
        <v>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167</v>
      </c>
      <c r="E181" s="94"/>
      <c r="F181" s="125">
        <f t="shared" si="2"/>
        <v>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10742</v>
      </c>
      <c r="E185" s="94">
        <v>1961</v>
      </c>
      <c r="F185" s="125">
        <f t="shared" si="2"/>
        <v>18.255445913237757</v>
      </c>
    </row>
    <row r="186" spans="1:6" s="3" customFormat="1" x14ac:dyDescent="0.2">
      <c r="A186" s="272" t="s">
        <v>3033</v>
      </c>
      <c r="B186" s="314" t="s">
        <v>3034</v>
      </c>
      <c r="C186" s="303">
        <v>175</v>
      </c>
      <c r="D186" s="94"/>
      <c r="E186" s="94">
        <v>24500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2079874</v>
      </c>
      <c r="E234" s="97">
        <f>+E235+E243-E247+E251+E252+E253</f>
        <v>2017742</v>
      </c>
      <c r="F234" s="124">
        <f t="shared" si="3"/>
        <v>97.012703654163673</v>
      </c>
    </row>
    <row r="235" spans="1:6" s="3" customFormat="1" x14ac:dyDescent="0.2">
      <c r="A235" s="132" t="s">
        <v>1279</v>
      </c>
      <c r="B235" s="314" t="s">
        <v>3395</v>
      </c>
      <c r="C235" s="303">
        <v>224</v>
      </c>
      <c r="D235" s="97">
        <f>D236-D239</f>
        <v>2080419</v>
      </c>
      <c r="E235" s="97">
        <f>E236-E239</f>
        <v>1929811</v>
      </c>
      <c r="F235" s="124">
        <f t="shared" si="3"/>
        <v>92.760689072730059</v>
      </c>
    </row>
    <row r="236" spans="1:6" s="3" customFormat="1" x14ac:dyDescent="0.2">
      <c r="A236" s="132" t="s">
        <v>1280</v>
      </c>
      <c r="B236" s="314" t="s">
        <v>3396</v>
      </c>
      <c r="C236" s="303">
        <v>225</v>
      </c>
      <c r="D236" s="97">
        <f>SUM(D237:D238)</f>
        <v>2080419</v>
      </c>
      <c r="E236" s="97">
        <f>SUM(E237:E238)</f>
        <v>1929811</v>
      </c>
      <c r="F236" s="124">
        <f t="shared" si="3"/>
        <v>92.760689072730059</v>
      </c>
    </row>
    <row r="237" spans="1:6" s="3" customFormat="1" x14ac:dyDescent="0.2">
      <c r="A237" s="132" t="s">
        <v>1281</v>
      </c>
      <c r="B237" s="314" t="s">
        <v>1282</v>
      </c>
      <c r="C237" s="303">
        <v>226</v>
      </c>
      <c r="D237" s="94">
        <v>2066379</v>
      </c>
      <c r="E237" s="94">
        <v>1915771</v>
      </c>
      <c r="F237" s="125">
        <f t="shared" si="3"/>
        <v>92.711501617079932</v>
      </c>
    </row>
    <row r="238" spans="1:6" s="3" customFormat="1" x14ac:dyDescent="0.2">
      <c r="A238" s="132" t="s">
        <v>1283</v>
      </c>
      <c r="B238" s="314" t="s">
        <v>1284</v>
      </c>
      <c r="C238" s="303">
        <v>227</v>
      </c>
      <c r="D238" s="94">
        <v>14040</v>
      </c>
      <c r="E238" s="94">
        <v>14040</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97003</v>
      </c>
      <c r="E243" s="97">
        <f>SUM(E244:E246)</f>
        <v>190857</v>
      </c>
      <c r="F243" s="124">
        <f t="shared" si="3"/>
        <v>196.75370864818612</v>
      </c>
    </row>
    <row r="244" spans="1:6" s="3" customFormat="1" x14ac:dyDescent="0.2">
      <c r="A244" s="132" t="s">
        <v>2861</v>
      </c>
      <c r="B244" s="314" t="s">
        <v>4121</v>
      </c>
      <c r="C244" s="303">
        <v>233</v>
      </c>
      <c r="D244" s="94">
        <v>97003</v>
      </c>
      <c r="E244" s="94">
        <v>190857</v>
      </c>
      <c r="F244" s="125">
        <f t="shared" si="3"/>
        <v>196.75370864818612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v>0</v>
      </c>
      <c r="F246" s="125" t="str">
        <f t="shared" si="3"/>
        <v>-</v>
      </c>
    </row>
    <row r="247" spans="1:6" s="3" customFormat="1" x14ac:dyDescent="0.2">
      <c r="A247" s="132" t="s">
        <v>2806</v>
      </c>
      <c r="B247" s="314" t="s">
        <v>3399</v>
      </c>
      <c r="C247" s="303">
        <v>236</v>
      </c>
      <c r="D247" s="97">
        <f>SUM(D248:D250)</f>
        <v>103237</v>
      </c>
      <c r="E247" s="97">
        <f>SUM(E248:E250)</f>
        <v>104316</v>
      </c>
      <c r="F247" s="124">
        <f t="shared" si="3"/>
        <v>101.04516791460425</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103237</v>
      </c>
      <c r="E249" s="94">
        <v>104316</v>
      </c>
      <c r="F249" s="125">
        <f t="shared" si="3"/>
        <v>101.04516791460425</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288</v>
      </c>
      <c r="E251" s="94">
        <v>1152</v>
      </c>
      <c r="F251" s="125">
        <f t="shared" si="3"/>
        <v>400</v>
      </c>
    </row>
    <row r="252" spans="1:6" s="3" customFormat="1" x14ac:dyDescent="0.2">
      <c r="A252" s="132" t="s">
        <v>2595</v>
      </c>
      <c r="B252" s="317" t="s">
        <v>1574</v>
      </c>
      <c r="C252" s="303">
        <v>241</v>
      </c>
      <c r="D252" s="94">
        <v>5401</v>
      </c>
      <c r="E252" s="94">
        <v>238</v>
      </c>
      <c r="F252" s="125">
        <f t="shared" si="3"/>
        <v>4.4065913719681538</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288</v>
      </c>
      <c r="E260" s="94">
        <v>1152</v>
      </c>
      <c r="F260" s="125">
        <f t="shared" si="4"/>
        <v>400</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v>5401</v>
      </c>
      <c r="E262" s="94">
        <v>238</v>
      </c>
      <c r="F262" s="125">
        <f t="shared" si="4"/>
        <v>4.4065913719681538</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757201</v>
      </c>
      <c r="E287" s="94">
        <v>735691</v>
      </c>
      <c r="F287" s="125">
        <f t="shared" si="4"/>
        <v>97.159274750033347</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v>24500</v>
      </c>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351" t="s">
        <v>1067</v>
      </c>
      <c r="E324" s="351"/>
      <c r="F324" s="291"/>
      <c r="G324" s="307"/>
    </row>
    <row r="325" spans="1:7" s="292" customFormat="1" ht="15" customHeight="1" x14ac:dyDescent="0.2">
      <c r="A325" s="291" t="str">
        <f>IF(RefStr!H25&lt;&gt;"", "Osoba za kontaktiranje: " &amp; RefStr!H25,"Osoba za kontaktiranje: _________________________________________")</f>
        <v>Osoba za kontaktiranje: ANA MIJAĆANK</v>
      </c>
      <c r="B325" s="291"/>
      <c r="D325" s="293"/>
      <c r="E325" s="293"/>
      <c r="F325" s="291"/>
      <c r="G325" s="307"/>
    </row>
    <row r="326" spans="1:7" s="292" customFormat="1" ht="15" customHeight="1" x14ac:dyDescent="0.2">
      <c r="A326" s="291" t="str">
        <f>IF(RefStr!H27="","Telefon za kontakt: _________________","Telefon za kontakt: " &amp; RefStr!H27)</f>
        <v>Telefon za kontakt: 031 207 088</v>
      </c>
      <c r="B326" s="291"/>
      <c r="F326" s="291"/>
      <c r="G326" s="307"/>
    </row>
    <row r="327" spans="1:7" s="292" customFormat="1" ht="15" customHeight="1" x14ac:dyDescent="0.2">
      <c r="A327" s="291" t="str">
        <f>IF(RefStr!H33="","Odgovorna osoba: _____________________________","Odgovorna osoba: " &amp; RefStr!H33)</f>
        <v>Odgovorna osoba: DRAŽEN JAKOPOVIĆ,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5" activePane="bottomLeft" state="frozen"/>
      <selection pane="bottomLeft" activeCell="E132" sqref="E13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368" t="str">
        <f>"RKP: "&amp;IF(RefStr!B6&lt;&gt;"",TEXT(INT(VALUE(RefStr!B6)),"00000"),"_____"&amp;",  "&amp;"MB: "&amp;IF(RefStr!B8&lt;&gt;"",TEXT(INT(VALUE(RefStr!B8)),"00000000"),"________")&amp;"  OIB: "&amp;IF(RefStr!K14&lt;&gt;"",RefStr!K14,"___________"))</f>
        <v>RKP: 17941</v>
      </c>
      <c r="C4" s="369"/>
      <c r="D4" s="369"/>
      <c r="E4" s="370">
        <f>SUM(Skriveni!G1287:G1423)</f>
        <v>13322412.522</v>
      </c>
      <c r="F4" s="371"/>
    </row>
    <row r="5" spans="1:6" ht="15" customHeight="1" x14ac:dyDescent="0.2">
      <c r="B5" s="368" t="str">
        <f>"Naziv: "&amp;IF(RefStr!B10&lt;&gt;"",RefStr!B10,"_______________________________________")</f>
        <v>Naziv: III. GIMNAZIJA</v>
      </c>
      <c r="C5" s="369"/>
      <c r="D5" s="369"/>
      <c r="E5" s="372" t="s">
        <v>7</v>
      </c>
      <c r="F5" s="372"/>
    </row>
    <row r="6" spans="1:6" ht="15" customHeight="1" x14ac:dyDescent="0.2">
      <c r="A6" s="24"/>
      <c r="B6" s="366" t="str">
        <f xml:space="preserve"> "Razina: " &amp; RefStr!B16 &amp; ", Razdjel: " &amp; TEXT(INT(VALUE(RefStr!B20)), "000")</f>
        <v>Razina: 31, Razdjel: 000</v>
      </c>
      <c r="C6" s="367"/>
      <c r="D6" s="367"/>
      <c r="E6" s="367"/>
      <c r="F6" s="367"/>
    </row>
    <row r="7" spans="1:6" ht="15" customHeight="1" x14ac:dyDescent="0.2">
      <c r="A7" s="24"/>
      <c r="B7" s="366" t="str">
        <f>"Djelatnost: " &amp; RefStr!B18 &amp; " " &amp; RefStr!C18</f>
        <v>Djelatnost: 8531 Opće srednje obrazovanje</v>
      </c>
      <c r="C7" s="367"/>
      <c r="D7" s="367"/>
      <c r="E7" s="367"/>
      <c r="F7" s="36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9086178</v>
      </c>
      <c r="E121" s="97">
        <f>E122+E125+E128+E129+SUM(E132:E135)</f>
        <v>9421704</v>
      </c>
      <c r="F121" s="125">
        <f t="shared" si="1"/>
        <v>103.69270775897192</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9086178</v>
      </c>
      <c r="E125" s="97">
        <f>SUM(E126:E127)</f>
        <v>9421704</v>
      </c>
      <c r="F125" s="125">
        <f t="shared" si="1"/>
        <v>103.69270775897192</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9086178</v>
      </c>
      <c r="E127" s="94">
        <v>9421704</v>
      </c>
      <c r="F127" s="125">
        <f t="shared" si="1"/>
        <v>103.69270775897192</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9086178</v>
      </c>
      <c r="E148" s="107">
        <f>E12+E29+E35+E42+E82+E89+E96+E114+E121+E136</f>
        <v>9421704</v>
      </c>
      <c r="F148" s="126">
        <f t="shared" si="2"/>
        <v>103.69270775897192</v>
      </c>
    </row>
    <row r="149" spans="1:7" ht="15" customHeight="1" x14ac:dyDescent="0.2"/>
    <row r="150" spans="1:7" s="292" customFormat="1" ht="25.5" customHeight="1" x14ac:dyDescent="0.2">
      <c r="A150" s="291" t="s">
        <v>518</v>
      </c>
      <c r="B150" s="291"/>
      <c r="D150" s="351" t="s">
        <v>1067</v>
      </c>
      <c r="E150" s="351"/>
      <c r="F150" s="291"/>
      <c r="G150" s="307"/>
    </row>
    <row r="151" spans="1:7" s="292" customFormat="1" ht="15" customHeight="1" x14ac:dyDescent="0.2">
      <c r="A151" s="291" t="str">
        <f>IF(RefStr!H25&lt;&gt;"", "Osoba za kontaktiranje: " &amp; RefStr!H25,"Osoba za kontaktiranje: _________________________________________")</f>
        <v>Osoba za kontaktiranje: ANA MIJAĆANK</v>
      </c>
      <c r="B151" s="291"/>
      <c r="D151" s="293"/>
      <c r="E151" s="293"/>
      <c r="F151" s="291"/>
      <c r="G151" s="307"/>
    </row>
    <row r="152" spans="1:7" s="292" customFormat="1" ht="15" customHeight="1" x14ac:dyDescent="0.2">
      <c r="A152" s="291" t="str">
        <f>IF(RefStr!H27="","Telefon za kontakt: _________________","Telefon za kontakt: " &amp; RefStr!H27)</f>
        <v>Telefon za kontakt: 031 207 088</v>
      </c>
      <c r="B152" s="291"/>
      <c r="E152" s="291"/>
      <c r="F152" s="291"/>
      <c r="G152" s="307"/>
    </row>
    <row r="153" spans="1:7" s="292" customFormat="1" ht="15" customHeight="1" x14ac:dyDescent="0.2">
      <c r="A153" s="291" t="str">
        <f>IF(RefStr!H33="","Odgovorna osoba: _____________________________","Odgovorna osoba: " &amp; RefStr!H33)</f>
        <v>Odgovorna osoba: DRAŽEN JAKOPOVIĆ,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358" t="s">
        <v>2788</v>
      </c>
      <c r="B1" s="359"/>
      <c r="C1" s="456" t="s">
        <v>2051</v>
      </c>
      <c r="D1" s="456"/>
      <c r="E1" s="456"/>
    </row>
    <row r="2" spans="1:6" s="283" customFormat="1" ht="48" customHeight="1" thickBot="1" x14ac:dyDescent="0.25">
      <c r="A2" s="453" t="s">
        <v>4037</v>
      </c>
      <c r="B2" s="454"/>
      <c r="C2" s="36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368" t="str">
        <f>"RKP: "&amp;IF(RefStr!B6&lt;&gt;"",TEXT(INT(VALUE(RefStr!B6)),"00000"),"_____"&amp;",  "&amp;"MB: "&amp;IF(RefStr!B8&lt;&gt;"",TEXT(INT(VALUE(RefStr!B8)),"00000000"),"________")&amp;"  OIB: "&amp;IF(RefStr!K14&lt;&gt;"",RefStr!K14,"___________"))</f>
        <v>RKP: 17941</v>
      </c>
      <c r="C4" s="450"/>
      <c r="D4" s="370">
        <f>SUM(Skriveni!G1424:G1467)</f>
        <v>0</v>
      </c>
      <c r="E4" s="371"/>
    </row>
    <row r="5" spans="1:6" ht="15" customHeight="1" x14ac:dyDescent="0.2">
      <c r="B5" s="368" t="str">
        <f>"Naziv: "&amp;IF(RefStr!B10&lt;&gt;"",RefStr!B10,"_______________________________________")</f>
        <v>Naziv: III. GIMNAZIJA</v>
      </c>
      <c r="C5" s="450"/>
      <c r="D5" s="372" t="s">
        <v>7</v>
      </c>
      <c r="E5" s="372"/>
    </row>
    <row r="6" spans="1:6" ht="15" customHeight="1" x14ac:dyDescent="0.2">
      <c r="A6" s="24"/>
      <c r="B6" s="366" t="str">
        <f xml:space="preserve"> "Razina: " &amp; RefStr!B16 &amp; ", Razdjel: " &amp; TEXT(INT(VALUE(RefStr!B20)), "000")</f>
        <v>Razina: 31, Razdjel: 000</v>
      </c>
      <c r="C6" s="367"/>
      <c r="D6" s="367"/>
      <c r="E6" s="367"/>
      <c r="F6" s="367"/>
    </row>
    <row r="7" spans="1:6" ht="15" customHeight="1" x14ac:dyDescent="0.2">
      <c r="A7" s="24"/>
      <c r="B7" s="366" t="str">
        <f>"Djelatnost: " &amp; RefStr!B18 &amp; " " &amp; RefStr!C18</f>
        <v>Djelatnost: 8531 Opće srednje obrazovanje</v>
      </c>
      <c r="C7" s="367"/>
      <c r="D7" s="367"/>
      <c r="E7" s="367"/>
      <c r="F7" s="36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351" t="s">
        <v>1067</v>
      </c>
      <c r="E58" s="351"/>
      <c r="F58" s="291"/>
      <c r="G58" s="307"/>
    </row>
    <row r="59" spans="1:7" s="292" customFormat="1" ht="15" customHeight="1" x14ac:dyDescent="0.2">
      <c r="A59" s="291" t="str">
        <f>IF(RefStr!H25&lt;&gt;"", "Osoba za kontaktiranje: " &amp; RefStr!H25,"Osoba za kontaktiranje: _________________________________________")</f>
        <v>Osoba za kontaktiranje: ANA MIJAĆANK</v>
      </c>
      <c r="B59" s="291"/>
      <c r="D59" s="293"/>
      <c r="E59" s="293"/>
      <c r="F59" s="291"/>
      <c r="G59" s="307"/>
    </row>
    <row r="60" spans="1:7" s="292" customFormat="1" ht="15" customHeight="1" x14ac:dyDescent="0.2">
      <c r="A60" s="291" t="str">
        <f>IF(RefStr!H27="","Telefon za kontakt: _________________","Telefon za kontakt: " &amp; RefStr!H27)</f>
        <v>Telefon za kontakt: 031 207 088</v>
      </c>
      <c r="B60" s="291"/>
      <c r="F60" s="291"/>
      <c r="G60" s="307"/>
    </row>
    <row r="61" spans="1:7" s="292" customFormat="1" ht="15" customHeight="1" x14ac:dyDescent="0.2">
      <c r="A61" s="291" t="str">
        <f>IF(RefStr!H33="","Odgovorna osoba: _____________________________","Odgovorna osoba: " &amp; RefStr!H33)</f>
        <v>Odgovorna osoba: DRAŽEN JAKOPOVIĆ,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Normal="100" workbookViewId="0">
      <pane ySplit="1" topLeftCell="A74" activePane="bottomLeft" state="frozen"/>
      <selection pane="bottomLeft" activeCell="B103" sqref="B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17941</v>
      </c>
      <c r="C4" s="370">
        <f>SUM(Skriveni!G1468:G1561)</f>
        <v>853784.13300000003</v>
      </c>
      <c r="D4" s="371"/>
    </row>
    <row r="5" spans="1:5" s="23" customFormat="1" ht="15" customHeight="1" x14ac:dyDescent="0.2">
      <c r="B5" s="98" t="str">
        <f>"Naziv: "&amp;IF(RefStr!B10&lt;&gt;"",RefStr!B10,"_______________________________________")</f>
        <v>Naziv: III. GIMNAZIJA</v>
      </c>
      <c r="C5" s="372" t="s">
        <v>7</v>
      </c>
      <c r="D5" s="372"/>
    </row>
    <row r="6" spans="1:5" s="23" customFormat="1" ht="15" customHeight="1" x14ac:dyDescent="0.2">
      <c r="A6" s="24"/>
      <c r="B6" s="366" t="str">
        <f xml:space="preserve"> "Razina: " &amp; RefStr!B16 &amp; ", Razdjel: " &amp; TEXT(INT(VALUE(RefStr!B20)), "000")</f>
        <v>Razina: 31, Razdjel: 000</v>
      </c>
      <c r="C6" s="457"/>
      <c r="D6" s="457"/>
      <c r="E6" s="285"/>
    </row>
    <row r="7" spans="1:5" s="23" customFormat="1" ht="15" customHeight="1" x14ac:dyDescent="0.2">
      <c r="A7" s="24"/>
      <c r="B7" s="366"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757204</v>
      </c>
    </row>
    <row r="13" spans="1:5" s="2" customFormat="1" x14ac:dyDescent="0.2">
      <c r="A13" s="270"/>
      <c r="B13" s="271" t="s">
        <v>2062</v>
      </c>
      <c r="C13" s="264">
        <v>2</v>
      </c>
      <c r="D13" s="140">
        <f>D14+D15+D23+D24</f>
        <v>9408278</v>
      </c>
    </row>
    <row r="14" spans="1:5" s="2" customFormat="1" x14ac:dyDescent="0.2">
      <c r="A14" s="270"/>
      <c r="B14" s="271" t="s">
        <v>4041</v>
      </c>
      <c r="C14" s="264">
        <v>3</v>
      </c>
      <c r="D14" s="141">
        <v>8358</v>
      </c>
    </row>
    <row r="15" spans="1:5" s="2" customFormat="1" x14ac:dyDescent="0.2">
      <c r="A15" s="270" t="s">
        <v>1181</v>
      </c>
      <c r="B15" s="271" t="s">
        <v>3078</v>
      </c>
      <c r="C15" s="264">
        <v>4</v>
      </c>
      <c r="D15" s="140">
        <f>SUM(D16:D22)</f>
        <v>9305042</v>
      </c>
    </row>
    <row r="16" spans="1:5" s="2" customFormat="1" x14ac:dyDescent="0.2">
      <c r="A16" s="272" t="s">
        <v>1182</v>
      </c>
      <c r="B16" s="273" t="s">
        <v>1183</v>
      </c>
      <c r="C16" s="264">
        <v>5</v>
      </c>
      <c r="D16" s="141">
        <v>8404824</v>
      </c>
    </row>
    <row r="17" spans="1:4" s="2" customFormat="1" x14ac:dyDescent="0.2">
      <c r="A17" s="272" t="s">
        <v>1184</v>
      </c>
      <c r="B17" s="273" t="s">
        <v>1185</v>
      </c>
      <c r="C17" s="264">
        <v>6</v>
      </c>
      <c r="D17" s="141">
        <v>896962</v>
      </c>
    </row>
    <row r="18" spans="1:4" s="2" customFormat="1" x14ac:dyDescent="0.2">
      <c r="A18" s="272" t="s">
        <v>1186</v>
      </c>
      <c r="B18" s="273" t="s">
        <v>1187</v>
      </c>
      <c r="C18" s="264">
        <v>7</v>
      </c>
      <c r="D18" s="141">
        <v>3256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0</v>
      </c>
    </row>
    <row r="23" spans="1:4" s="2" customFormat="1" x14ac:dyDescent="0.2">
      <c r="A23" s="270" t="s">
        <v>3033</v>
      </c>
      <c r="B23" s="271" t="s">
        <v>3034</v>
      </c>
      <c r="C23" s="264">
        <v>12</v>
      </c>
      <c r="D23" s="141">
        <v>94878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9405291</v>
      </c>
    </row>
    <row r="31" spans="1:4" s="2" customFormat="1" x14ac:dyDescent="0.2">
      <c r="A31" s="272"/>
      <c r="B31" s="271" t="s">
        <v>4041</v>
      </c>
      <c r="C31" s="264">
        <v>20</v>
      </c>
      <c r="D31" s="141">
        <v>17140</v>
      </c>
    </row>
    <row r="32" spans="1:4" s="2" customFormat="1" x14ac:dyDescent="0.2">
      <c r="A32" s="270" t="s">
        <v>1181</v>
      </c>
      <c r="B32" s="271" t="s">
        <v>3081</v>
      </c>
      <c r="C32" s="264">
        <v>21</v>
      </c>
      <c r="D32" s="140">
        <f>SUM(D33:D39)</f>
        <v>9317773</v>
      </c>
    </row>
    <row r="33" spans="1:4" s="2" customFormat="1" x14ac:dyDescent="0.2">
      <c r="A33" s="272" t="s">
        <v>1182</v>
      </c>
      <c r="B33" s="273" t="s">
        <v>1183</v>
      </c>
      <c r="C33" s="264">
        <v>22</v>
      </c>
      <c r="D33" s="141">
        <v>8417955</v>
      </c>
    </row>
    <row r="34" spans="1:4" s="2" customFormat="1" x14ac:dyDescent="0.2">
      <c r="A34" s="272" t="s">
        <v>1184</v>
      </c>
      <c r="B34" s="273" t="s">
        <v>1185</v>
      </c>
      <c r="C34" s="264">
        <v>23</v>
      </c>
      <c r="D34" s="141">
        <v>896393</v>
      </c>
    </row>
    <row r="35" spans="1:4" s="2" customFormat="1" x14ac:dyDescent="0.2">
      <c r="A35" s="272" t="s">
        <v>1186</v>
      </c>
      <c r="B35" s="273" t="s">
        <v>1187</v>
      </c>
      <c r="C35" s="264">
        <v>24</v>
      </c>
      <c r="D35" s="141">
        <v>3425</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0</v>
      </c>
    </row>
    <row r="40" spans="1:4" s="2" customFormat="1" x14ac:dyDescent="0.2">
      <c r="A40" s="275" t="s">
        <v>3033</v>
      </c>
      <c r="B40" s="271" t="s">
        <v>3034</v>
      </c>
      <c r="C40" s="264">
        <v>29</v>
      </c>
      <c r="D40" s="141">
        <v>70378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760191</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760191</v>
      </c>
    </row>
    <row r="102" spans="1:5" s="2" customFormat="1" x14ac:dyDescent="0.2">
      <c r="A102" s="272"/>
      <c r="B102" s="280" t="s">
        <v>4041</v>
      </c>
      <c r="C102" s="264">
        <v>91</v>
      </c>
      <c r="D102" s="141"/>
    </row>
    <row r="103" spans="1:5" s="2" customFormat="1" x14ac:dyDescent="0.2">
      <c r="A103" s="272" t="s">
        <v>1181</v>
      </c>
      <c r="B103" s="280" t="s">
        <v>1365</v>
      </c>
      <c r="C103" s="264">
        <v>92</v>
      </c>
      <c r="D103" s="141">
        <v>735691</v>
      </c>
    </row>
    <row r="104" spans="1:5" s="2" customFormat="1" x14ac:dyDescent="0.2">
      <c r="A104" s="272" t="s">
        <v>3033</v>
      </c>
      <c r="B104" s="280" t="s">
        <v>3034</v>
      </c>
      <c r="C104" s="264">
        <v>93</v>
      </c>
      <c r="D104" s="141">
        <v>24500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351" t="s">
        <v>1067</v>
      </c>
      <c r="D108" s="351"/>
      <c r="E108" s="291"/>
    </row>
    <row r="109" spans="1:5" s="292" customFormat="1" ht="15" customHeight="1" x14ac:dyDescent="0.2">
      <c r="A109" s="291" t="str">
        <f>IF(RefStr!H25&lt;&gt;"", "Osoba za kontaktiranje: " &amp; RefStr!H25,"Osoba za kontaktiranje: _________________________________________")</f>
        <v>Osoba za kontaktiranje: ANA MIJAĆANK</v>
      </c>
      <c r="B109" s="291"/>
      <c r="C109" s="293"/>
      <c r="D109" s="293"/>
      <c r="E109" s="291"/>
    </row>
    <row r="110" spans="1:5" s="292" customFormat="1" ht="15" customHeight="1" x14ac:dyDescent="0.2">
      <c r="A110" s="291" t="str">
        <f>IF(RefStr!H27="","Telefon za kontakt: _________________","Telefon za kontakt: " &amp; RefStr!H27)</f>
        <v>Telefon za kontakt: 031 207 088</v>
      </c>
      <c r="B110" s="291"/>
      <c r="E110" s="291"/>
    </row>
    <row r="111" spans="1:5" s="292" customFormat="1" ht="15" customHeight="1" x14ac:dyDescent="0.2">
      <c r="A111" s="291" t="str">
        <f>IF(RefStr!H33="","Odgovorna osoba: _____________________________","Odgovorna osoba: " &amp; RefStr!H33)</f>
        <v>Odgovorna osoba: DRAŽEN JAKOPOVIĆ,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17941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PRRAS</vt:lpstr>
      <vt:lpstr>RefStr</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Tajnica</cp:lastModifiedBy>
  <cp:lastPrinted>2019-01-29T13:48:49Z</cp:lastPrinted>
  <dcterms:created xsi:type="dcterms:W3CDTF">2001-11-21T09:32:18Z</dcterms:created>
  <dcterms:modified xsi:type="dcterms:W3CDTF">2019-02-06T12:34:44Z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